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<sst xmlns="http://schemas.openxmlformats.org/spreadsheetml/2006/main" count="607" uniqueCount="208">
  <si>
    <t>ОТЧЕТ ОБ ИСПОЛНЕНИИ БЮДЖЕТА</t>
  </si>
  <si>
    <t>КОДЫ</t>
  </si>
  <si>
    <t xml:space="preserve">Форма по ОКУД </t>
  </si>
  <si>
    <t>0503117</t>
  </si>
  <si>
    <t>на 1 марта 2023 г.</t>
  </si>
  <si>
    <t xml:space="preserve">Дата </t>
  </si>
  <si>
    <t>Наименование финансового органа</t>
  </si>
  <si>
    <t>АДМИНИСТРАЦИЯ СЕЛЬСКОГО ПОСЕЛЕНИЯ ЛУГОВСКОЙ</t>
  </si>
  <si>
    <t xml:space="preserve">по ОКПО </t>
  </si>
  <si>
    <t xml:space="preserve">Глава по БК </t>
  </si>
  <si>
    <t>79553386</t>
  </si>
  <si>
    <t/>
  </si>
  <si>
    <t>Наименование публично-правового образования</t>
  </si>
  <si>
    <t>Бюджет сельского поселения Луговской</t>
  </si>
  <si>
    <t xml:space="preserve">по ОКТМО </t>
  </si>
  <si>
    <t>71829416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</si>
  <si>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</si>
  <si>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</si>
  <si>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</si>
  <si>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</si>
  <si>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</si>
  <si>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</si>
  <si>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</si>
  <si>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</si>
  <si>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</si>
  <si>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</si>
  <si>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</si>
  <si>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</si>
  <si>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</si>
  <si>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</si>
  <si>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</si>
  <si>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</si>
  <si>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</si>
  <si>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</si>
  <si>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</si>
  <si>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</si>
  <si>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</si>
  <si>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</si>
  <si>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</si>
  <si>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</si>
  <si>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</si>
  <si>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</si>
  <si>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</si>
  <si>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</si>
  <si>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</si>
  <si>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</si>
  <si>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</si>
  <si>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</si>
  <si>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</si>
  <si>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</si>
  <si>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</si>
  <si>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</si>
  <si>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</si>
  <si>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</si>
  <si>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</si>
  <si>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</si>
  <si>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</si>
  <si>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</si>
  <si>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</si>
  <si>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</si>
  <si>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</si>
  <si>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</si>
  <si>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</si>
  <si>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</si>
  <si>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</si>
  <si>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</si>
  <si>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</si>
  <si>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</si>
  <si>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</si>
  <si>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</si>
  <si>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</si>
  <si>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</si>
  <si>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</si>
  <si>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</si>
  <si>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</si>
  <si>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</si>
  <si>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</si>
  <si>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</si>
  <si>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</si>
  <si>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</si>
  <si>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</si>
  <si>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</si>
  <si>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</si>
  <si>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</si>
  <si>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</si>
  <si>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</si>
  <si>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</si>
  <si>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</si>
  <si>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</si>
  <si>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</si>
  <si>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</si>
  <si>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</si>
  <si>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650 0102 3300202030 121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</si>
  <si>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</si>
  <si>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</si>
  <si>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</si>
  <si>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</si>
  <si>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650 0102 3300202030 129</t>
  </si>
  <si>
    <t>213</t>
  </si>
  <si>
    <t>650 0104 3300202040 121</t>
  </si>
  <si>
    <t>650 0104 3300202040 129</t>
  </si>
  <si>
    <t>650 0104 3300202050 121</t>
  </si>
  <si>
    <t>650 0104 3300202050 129</t>
  </si>
  <si>
    <t>Прочие выплаты</t>
  </si>
  <si>
    <t>650 0104 3300202400 122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</si>
  <si>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</si>
  <si>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</si>
  <si>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</si>
  <si>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</si>
  <si>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</si>
  <si>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</si>
  <si>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</si>
  <si>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</si>
  <si>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</si>
  <si>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</si>
  <si>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</si>
  <si>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650 0111 7000020610 870</t>
  </si>
  <si>
    <t>296</t>
  </si>
  <si>
    <t>650 0113 3300102400 244</t>
  </si>
  <si>
    <t>Коммунальные услуги</t>
  </si>
  <si>
    <t>650 0113 3300302400 244</t>
  </si>
  <si>
    <t>223</t>
  </si>
  <si>
    <t>Работы, услуги по содержанию имущества</t>
  </si>
  <si>
    <t>225</t>
  </si>
  <si>
    <t>Горюче-смазочные материалы</t>
  </si>
  <si>
    <t>343</t>
  </si>
  <si>
    <t>Прочие оборотные запасы (материалы)</t>
  </si>
  <si>
    <t>346</t>
  </si>
  <si>
    <t>Прочие материальные запасы однократного применения</t>
  </si>
  <si>
    <t>349</t>
  </si>
  <si>
    <t>650 0113 3300302400 247</t>
  </si>
  <si>
    <t>650 0113 7000099990 244</t>
  </si>
  <si>
    <t>Увеличение стоимости основных средств</t>
  </si>
  <si>
    <t>310</t>
  </si>
  <si>
    <t>650 0113 7000099990 247</t>
  </si>
  <si>
    <t>Налоги, пошлины и сборы</t>
  </si>
  <si>
    <t>650 0113 7000099990 851</t>
  </si>
  <si>
    <t>291</t>
  </si>
  <si>
    <t>650 0113 7000099990 852</t>
  </si>
  <si>
    <t>650 0113 7000099990 853</t>
  </si>
  <si>
    <t>650 0203 7000051180 121</t>
  </si>
  <si>
    <t>650 0203 7000051180 129</t>
  </si>
  <si>
    <t>650 0304 3300459300 121</t>
  </si>
  <si>
    <t>650 0304 3300459300 129</t>
  </si>
  <si>
    <t>650 0310 1400199990 244</t>
  </si>
  <si>
    <t>650 0310 1400299990 244</t>
  </si>
  <si>
    <t>650 0310 1400399990 244</t>
  </si>
  <si>
    <t>650 0310 1420120803 244</t>
  </si>
  <si>
    <t>650 0310 7000099990 244</t>
  </si>
  <si>
    <t>650 0314 1300199990 123</t>
  </si>
  <si>
    <t>650 0314 1300199990 244</t>
  </si>
  <si>
    <t>650 0314 1310182300 123</t>
  </si>
  <si>
    <t>650 0314 13101S2300 123</t>
  </si>
  <si>
    <t>650 0405 0850120600 244</t>
  </si>
  <si>
    <t>650 0405 0850184200 244</t>
  </si>
  <si>
    <t>650 0405 7000099990 244</t>
  </si>
  <si>
    <t>650 0409 1800699990 244</t>
  </si>
  <si>
    <t>Строительные материалы</t>
  </si>
  <si>
    <t>344</t>
  </si>
  <si>
    <t>650 0409 7000099990 244</t>
  </si>
  <si>
    <t>Услуги связи</t>
  </si>
  <si>
    <t>650 0410 3300320070 244</t>
  </si>
  <si>
    <t>221</t>
  </si>
  <si>
    <t>650 0412 7000089020 540</t>
  </si>
  <si>
    <t>650 0501 1100299990 244</t>
  </si>
  <si>
    <t>650 0501 7000099990 244</t>
  </si>
  <si>
    <t>650 0501 7000099990 412</t>
  </si>
  <si>
    <t>650 0503 1200199990 244</t>
  </si>
  <si>
    <t>650 0503 1200299990 244</t>
  </si>
  <si>
    <t>650 0503 1200399990 244</t>
  </si>
  <si>
    <t>650 0503 1200499990 244</t>
  </si>
  <si>
    <t>Транспортные услуги</t>
  </si>
  <si>
    <t>650 0503 7000099990 244</t>
  </si>
  <si>
    <t>222</t>
  </si>
  <si>
    <t>650 0503 7000099990 247</t>
  </si>
  <si>
    <t>650 0605 1500220805 244</t>
  </si>
  <si>
    <t>Безвозмездные перечисления (передачи) текущего характера сектора государственного управления</t>
  </si>
  <si>
    <t>650 0801 0500100601 611</t>
  </si>
  <si>
    <t>241</t>
  </si>
  <si>
    <t>650 0801 0500161990 611</t>
  </si>
  <si>
    <t>650 0801 7000089020 540</t>
  </si>
  <si>
    <t>650 0801 7000099990 612</t>
  </si>
  <si>
    <t>Пенсии, пособия, выплачиваемые работодателями, нанимателями бывшим работникам в денежной форме</t>
  </si>
  <si>
    <t>650 1001 3300599990 312</t>
  </si>
  <si>
    <t>264</t>
  </si>
  <si>
    <t>650 1101 0500161990 611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</si>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</sst>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PageLayoutView="0" workbookViewId="0" topLeftCell="A7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44986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82109255.16</f>
        <v>82109255.16</v>
      </c>
      <c r="M12" s="21"/>
      <c r="N12" s="21">
        <f>17777869.17</f>
        <v>17777869.17</v>
      </c>
      <c r="O12" s="21"/>
      <c r="P12" s="21"/>
      <c r="Q12" s="21"/>
      <c r="R12" s="21"/>
      <c r="S12" s="22">
        <f>64331385.99</f>
        <v>64331385.99</v>
      </c>
      <c r="T12" s="22"/>
      <c r="U12" s="22"/>
    </row>
    <row r="13" spans="1:21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3700000</f>
        <v>3700000</v>
      </c>
      <c r="M13" s="25"/>
      <c r="N13" s="25">
        <f>229174.3</f>
        <v>229174.3</v>
      </c>
      <c r="O13" s="25"/>
      <c r="P13" s="25"/>
      <c r="Q13" s="25"/>
      <c r="R13" s="25"/>
      <c r="S13" s="26">
        <f>3470825.7</f>
        <v>3470825.7</v>
      </c>
      <c r="T13" s="26"/>
      <c r="U13" s="26"/>
    </row>
    <row r="14" spans="1:21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7" t="s">
        <v>42</v>
      </c>
      <c r="M14" s="27"/>
      <c r="N14" s="25">
        <f>0.15</f>
        <v>0.15</v>
      </c>
      <c r="O14" s="25"/>
      <c r="P14" s="25"/>
      <c r="Q14" s="25"/>
      <c r="R14" s="25"/>
      <c r="S14" s="28" t="s">
        <v>42</v>
      </c>
      <c r="T14" s="28"/>
      <c r="U14" s="28"/>
    </row>
    <row r="15" spans="1:21" s="1" customFormat="1" ht="24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7" t="s">
        <v>42</v>
      </c>
      <c r="M15" s="27"/>
      <c r="N15" s="25">
        <f>488.91</f>
        <v>488.91</v>
      </c>
      <c r="O15" s="25"/>
      <c r="P15" s="25"/>
      <c r="Q15" s="25"/>
      <c r="R15" s="25"/>
      <c r="S15" s="28" t="s">
        <v>42</v>
      </c>
      <c r="T15" s="28"/>
      <c r="U15" s="28"/>
    </row>
    <row r="16" spans="1:21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2427500</f>
        <v>2427500</v>
      </c>
      <c r="M16" s="25"/>
      <c r="N16" s="25">
        <f>339147.8</f>
        <v>339147.8</v>
      </c>
      <c r="O16" s="25"/>
      <c r="P16" s="25"/>
      <c r="Q16" s="25"/>
      <c r="R16" s="25"/>
      <c r="S16" s="26">
        <f>2088352.2</f>
        <v>2088352.2</v>
      </c>
      <c r="T16" s="26"/>
      <c r="U16" s="26"/>
    </row>
    <row r="17" spans="1:21" s="1" customFormat="1" ht="75.75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16900</f>
        <v>16900</v>
      </c>
      <c r="M17" s="25"/>
      <c r="N17" s="25">
        <f>1224.03</f>
        <v>1224.03</v>
      </c>
      <c r="O17" s="25"/>
      <c r="P17" s="25"/>
      <c r="Q17" s="25"/>
      <c r="R17" s="25"/>
      <c r="S17" s="26">
        <f>15675.97</f>
        <v>15675.97</v>
      </c>
      <c r="T17" s="26"/>
      <c r="U17" s="26"/>
    </row>
    <row r="18" spans="1:21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3000900</f>
        <v>3000900</v>
      </c>
      <c r="M18" s="25"/>
      <c r="N18" s="25">
        <f>345497.61</f>
        <v>345497.61</v>
      </c>
      <c r="O18" s="25"/>
      <c r="P18" s="25"/>
      <c r="Q18" s="25"/>
      <c r="R18" s="25"/>
      <c r="S18" s="26">
        <f>2655402.39</f>
        <v>2655402.39</v>
      </c>
      <c r="T18" s="26"/>
      <c r="U18" s="26"/>
    </row>
    <row r="19" spans="1:21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-320200</f>
        <v>-320200</v>
      </c>
      <c r="M19" s="25"/>
      <c r="N19" s="25">
        <f>-34264.8</f>
        <v>-34264.8</v>
      </c>
      <c r="O19" s="25"/>
      <c r="P19" s="25"/>
      <c r="Q19" s="25"/>
      <c r="R19" s="25"/>
      <c r="S19" s="26">
        <f>-285935.2</f>
        <v>-285935.2</v>
      </c>
      <c r="T19" s="26"/>
      <c r="U19" s="26"/>
    </row>
    <row r="20" spans="1:21" s="1" customFormat="1" ht="13.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1091100</f>
        <v>1091100</v>
      </c>
      <c r="M20" s="25"/>
      <c r="N20" s="27" t="s">
        <v>42</v>
      </c>
      <c r="O20" s="27"/>
      <c r="P20" s="27"/>
      <c r="Q20" s="27"/>
      <c r="R20" s="27"/>
      <c r="S20" s="26">
        <f>1091100</f>
        <v>1091100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260000</f>
        <v>260000</v>
      </c>
      <c r="M21" s="25"/>
      <c r="N21" s="25">
        <f>7501.68</f>
        <v>7501.68</v>
      </c>
      <c r="O21" s="25"/>
      <c r="P21" s="25"/>
      <c r="Q21" s="25"/>
      <c r="R21" s="25"/>
      <c r="S21" s="26">
        <f>252498.32</f>
        <v>252498.32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2700</f>
        <v>2700</v>
      </c>
      <c r="M22" s="25"/>
      <c r="N22" s="27" t="s">
        <v>42</v>
      </c>
      <c r="O22" s="27"/>
      <c r="P22" s="27"/>
      <c r="Q22" s="27"/>
      <c r="R22" s="27"/>
      <c r="S22" s="26">
        <f>2700</f>
        <v>2700</v>
      </c>
      <c r="T22" s="26"/>
      <c r="U22" s="26"/>
    </row>
    <row r="23" spans="1:21" s="1" customFormat="1" ht="13.5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114500</f>
        <v>114500</v>
      </c>
      <c r="M23" s="25"/>
      <c r="N23" s="25">
        <f>5488.36</f>
        <v>5488.36</v>
      </c>
      <c r="O23" s="25"/>
      <c r="P23" s="25"/>
      <c r="Q23" s="25"/>
      <c r="R23" s="25"/>
      <c r="S23" s="26">
        <f>109011.64</f>
        <v>109011.64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100000</f>
        <v>100000</v>
      </c>
      <c r="M24" s="25"/>
      <c r="N24" s="25">
        <f>-5050</f>
        <v>-5050</v>
      </c>
      <c r="O24" s="25"/>
      <c r="P24" s="25"/>
      <c r="Q24" s="25"/>
      <c r="R24" s="25"/>
      <c r="S24" s="26">
        <f>105050</f>
        <v>105050</v>
      </c>
      <c r="T24" s="26"/>
      <c r="U24" s="26"/>
    </row>
    <row r="25" spans="1:21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90000</f>
        <v>90000</v>
      </c>
      <c r="M25" s="25"/>
      <c r="N25" s="25">
        <f>-5968.8</f>
        <v>-5968.8</v>
      </c>
      <c r="O25" s="25"/>
      <c r="P25" s="25"/>
      <c r="Q25" s="25"/>
      <c r="R25" s="25"/>
      <c r="S25" s="26">
        <f>95968.8</f>
        <v>95968.8</v>
      </c>
      <c r="T25" s="26"/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7" t="s">
        <v>42</v>
      </c>
      <c r="M26" s="27"/>
      <c r="N26" s="25">
        <f>-1954.56</f>
        <v>-1954.56</v>
      </c>
      <c r="O26" s="25"/>
      <c r="P26" s="25"/>
      <c r="Q26" s="25"/>
      <c r="R26" s="25"/>
      <c r="S26" s="28" t="s">
        <v>42</v>
      </c>
      <c r="T26" s="28"/>
      <c r="U26" s="28"/>
    </row>
    <row r="27" spans="1:21" s="1" customFormat="1" ht="45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30000</f>
        <v>30000</v>
      </c>
      <c r="M27" s="25"/>
      <c r="N27" s="25">
        <f>1870</f>
        <v>1870</v>
      </c>
      <c r="O27" s="25"/>
      <c r="P27" s="25"/>
      <c r="Q27" s="25"/>
      <c r="R27" s="25"/>
      <c r="S27" s="26">
        <f>28130</f>
        <v>28130</v>
      </c>
      <c r="T27" s="26"/>
      <c r="U27" s="26"/>
    </row>
    <row r="28" spans="1:21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744000</f>
        <v>744000</v>
      </c>
      <c r="M28" s="25"/>
      <c r="N28" s="25">
        <f>104672.53</f>
        <v>104672.53</v>
      </c>
      <c r="O28" s="25"/>
      <c r="P28" s="25"/>
      <c r="Q28" s="25"/>
      <c r="R28" s="25"/>
      <c r="S28" s="26">
        <f>639327.47</f>
        <v>639327.47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100200</f>
        <v>100200</v>
      </c>
      <c r="M29" s="25"/>
      <c r="N29" s="25">
        <f>16700</f>
        <v>16700</v>
      </c>
      <c r="O29" s="25"/>
      <c r="P29" s="25"/>
      <c r="Q29" s="25"/>
      <c r="R29" s="25"/>
      <c r="S29" s="26">
        <f>83500</f>
        <v>83500</v>
      </c>
      <c r="T29" s="26"/>
      <c r="U29" s="26"/>
    </row>
    <row r="30" spans="1:21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62982100</f>
        <v>62982100</v>
      </c>
      <c r="M30" s="25"/>
      <c r="N30" s="25">
        <f>15745525</f>
        <v>15745525</v>
      </c>
      <c r="O30" s="25"/>
      <c r="P30" s="25"/>
      <c r="Q30" s="25"/>
      <c r="R30" s="25"/>
      <c r="S30" s="26">
        <f>47236575</f>
        <v>47236575</v>
      </c>
      <c r="T30" s="26"/>
      <c r="U30" s="26"/>
    </row>
    <row r="31" spans="1:21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1657555.16</f>
        <v>1657555.16</v>
      </c>
      <c r="M31" s="25"/>
      <c r="N31" s="27" t="s">
        <v>42</v>
      </c>
      <c r="O31" s="27"/>
      <c r="P31" s="27"/>
      <c r="Q31" s="27"/>
      <c r="R31" s="27"/>
      <c r="S31" s="26">
        <f>1657555.16</f>
        <v>1657555.16</v>
      </c>
      <c r="T31" s="26"/>
      <c r="U31" s="26"/>
    </row>
    <row r="32" spans="1:21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8800</f>
        <v>8800</v>
      </c>
      <c r="M32" s="25"/>
      <c r="N32" s="27" t="s">
        <v>42</v>
      </c>
      <c r="O32" s="27"/>
      <c r="P32" s="27"/>
      <c r="Q32" s="27"/>
      <c r="R32" s="27"/>
      <c r="S32" s="26">
        <f>8800</f>
        <v>8800</v>
      </c>
      <c r="T32" s="26"/>
      <c r="U32" s="26"/>
    </row>
    <row r="33" spans="1:21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594700</f>
        <v>594700</v>
      </c>
      <c r="M33" s="25"/>
      <c r="N33" s="25">
        <f>113650.54</f>
        <v>113650.54</v>
      </c>
      <c r="O33" s="25"/>
      <c r="P33" s="25"/>
      <c r="Q33" s="25"/>
      <c r="R33" s="25"/>
      <c r="S33" s="26">
        <f>481049.46</f>
        <v>481049.46</v>
      </c>
      <c r="T33" s="26"/>
      <c r="U33" s="26"/>
    </row>
    <row r="34" spans="1:21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5">
        <f>47000</f>
        <v>47000</v>
      </c>
      <c r="M34" s="25"/>
      <c r="N34" s="25">
        <f>3916.42</f>
        <v>3916.42</v>
      </c>
      <c r="O34" s="25"/>
      <c r="P34" s="25"/>
      <c r="Q34" s="25"/>
      <c r="R34" s="25"/>
      <c r="S34" s="26">
        <f>43083.58</f>
        <v>43083.58</v>
      </c>
      <c r="T34" s="26"/>
      <c r="U34" s="26"/>
    </row>
    <row r="35" spans="1:21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4" t="s">
        <v>36</v>
      </c>
      <c r="I35" s="24"/>
      <c r="J35" s="24" t="s">
        <v>84</v>
      </c>
      <c r="K35" s="24"/>
      <c r="L35" s="25">
        <f>5461500</f>
        <v>5461500</v>
      </c>
      <c r="M35" s="25"/>
      <c r="N35" s="25">
        <f>910250</f>
        <v>910250</v>
      </c>
      <c r="O35" s="25"/>
      <c r="P35" s="25"/>
      <c r="Q35" s="25"/>
      <c r="R35" s="25"/>
      <c r="S35" s="26">
        <f>4551250</f>
        <v>4551250</v>
      </c>
      <c r="T35" s="26"/>
      <c r="U35" s="26"/>
    </row>
    <row r="36" spans="1:21" s="1" customFormat="1" ht="13.5" customHeight="1">
      <c r="A36" s="29" t="s">
        <v>11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" customFormat="1" ht="34.5" customHeight="1">
      <c r="A38" s="13" t="s">
        <v>23</v>
      </c>
      <c r="B38" s="13"/>
      <c r="C38" s="13"/>
      <c r="D38" s="13"/>
      <c r="E38" s="13"/>
      <c r="F38" s="13"/>
      <c r="G38" s="13" t="s">
        <v>24</v>
      </c>
      <c r="H38" s="13"/>
      <c r="I38" s="13" t="s">
        <v>86</v>
      </c>
      <c r="J38" s="13"/>
      <c r="K38" s="14" t="s">
        <v>87</v>
      </c>
      <c r="L38" s="14"/>
      <c r="M38" s="14" t="s">
        <v>26</v>
      </c>
      <c r="N38" s="14"/>
      <c r="O38" s="14" t="s">
        <v>27</v>
      </c>
      <c r="P38" s="14"/>
      <c r="Q38" s="14"/>
      <c r="R38" s="14"/>
      <c r="S38" s="14"/>
      <c r="T38" s="15" t="s">
        <v>28</v>
      </c>
      <c r="U38" s="15"/>
    </row>
    <row r="39" spans="1:21" s="1" customFormat="1" ht="13.5" customHeight="1">
      <c r="A39" s="16" t="s">
        <v>29</v>
      </c>
      <c r="B39" s="16"/>
      <c r="C39" s="16"/>
      <c r="D39" s="16"/>
      <c r="E39" s="16"/>
      <c r="F39" s="16"/>
      <c r="G39" s="16" t="s">
        <v>30</v>
      </c>
      <c r="H39" s="16"/>
      <c r="I39" s="16" t="s">
        <v>31</v>
      </c>
      <c r="J39" s="16"/>
      <c r="K39" s="17" t="s">
        <v>32</v>
      </c>
      <c r="L39" s="17"/>
      <c r="M39" s="17" t="s">
        <v>33</v>
      </c>
      <c r="N39" s="17"/>
      <c r="O39" s="17" t="s">
        <v>34</v>
      </c>
      <c r="P39" s="17"/>
      <c r="Q39" s="17"/>
      <c r="R39" s="17"/>
      <c r="S39" s="17"/>
      <c r="T39" s="18" t="s">
        <v>88</v>
      </c>
      <c r="U39" s="18"/>
    </row>
    <row r="40" spans="1:21" s="1" customFormat="1" ht="13.5" customHeight="1">
      <c r="A40" s="19" t="s">
        <v>89</v>
      </c>
      <c r="B40" s="19"/>
      <c r="C40" s="19"/>
      <c r="D40" s="19"/>
      <c r="E40" s="19"/>
      <c r="F40" s="19"/>
      <c r="G40" s="20" t="s">
        <v>90</v>
      </c>
      <c r="H40" s="20"/>
      <c r="I40" s="20" t="s">
        <v>37</v>
      </c>
      <c r="J40" s="20"/>
      <c r="K40" s="30" t="s">
        <v>37</v>
      </c>
      <c r="L40" s="30"/>
      <c r="M40" s="21">
        <f>89631761.91</f>
        <v>89631761.91</v>
      </c>
      <c r="N40" s="21"/>
      <c r="O40" s="21">
        <f>16627440.59</f>
        <v>16627440.59</v>
      </c>
      <c r="P40" s="21"/>
      <c r="Q40" s="21"/>
      <c r="R40" s="21"/>
      <c r="S40" s="21"/>
      <c r="T40" s="22">
        <f>73004321.32</f>
        <v>73004321.32</v>
      </c>
      <c r="U40" s="22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90</v>
      </c>
      <c r="H41" s="32"/>
      <c r="I41" s="32" t="s">
        <v>92</v>
      </c>
      <c r="J41" s="32"/>
      <c r="K41" s="33" t="s">
        <v>93</v>
      </c>
      <c r="L41" s="33"/>
      <c r="M41" s="34">
        <f>1520634</f>
        <v>1520634</v>
      </c>
      <c r="N41" s="34"/>
      <c r="O41" s="34">
        <f>328467.18</f>
        <v>328467.18</v>
      </c>
      <c r="P41" s="34"/>
      <c r="Q41" s="34"/>
      <c r="R41" s="34"/>
      <c r="S41" s="34"/>
      <c r="T41" s="35">
        <f>1192166.82</f>
        <v>1192166.82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90</v>
      </c>
      <c r="H42" s="32"/>
      <c r="I42" s="32" t="s">
        <v>92</v>
      </c>
      <c r="J42" s="32"/>
      <c r="K42" s="33" t="s">
        <v>95</v>
      </c>
      <c r="L42" s="33"/>
      <c r="M42" s="34">
        <f>2394</f>
        <v>2394</v>
      </c>
      <c r="N42" s="34"/>
      <c r="O42" s="36" t="s">
        <v>42</v>
      </c>
      <c r="P42" s="36"/>
      <c r="Q42" s="36"/>
      <c r="R42" s="36"/>
      <c r="S42" s="36"/>
      <c r="T42" s="35">
        <f>2394</f>
        <v>2394</v>
      </c>
      <c r="U42" s="35"/>
    </row>
    <row r="43" spans="1:21" s="1" customFormat="1" ht="13.5" customHeight="1">
      <c r="A43" s="31" t="s">
        <v>96</v>
      </c>
      <c r="B43" s="31"/>
      <c r="C43" s="31"/>
      <c r="D43" s="31"/>
      <c r="E43" s="31"/>
      <c r="F43" s="31"/>
      <c r="G43" s="32" t="s">
        <v>90</v>
      </c>
      <c r="H43" s="32"/>
      <c r="I43" s="32" t="s">
        <v>97</v>
      </c>
      <c r="J43" s="32"/>
      <c r="K43" s="33" t="s">
        <v>98</v>
      </c>
      <c r="L43" s="33"/>
      <c r="M43" s="34">
        <f>378620</f>
        <v>378620</v>
      </c>
      <c r="N43" s="34"/>
      <c r="O43" s="34">
        <f>78053.36</f>
        <v>78053.36</v>
      </c>
      <c r="P43" s="34"/>
      <c r="Q43" s="34"/>
      <c r="R43" s="34"/>
      <c r="S43" s="34"/>
      <c r="T43" s="35">
        <f>300566.64</f>
        <v>300566.64</v>
      </c>
      <c r="U43" s="35"/>
    </row>
    <row r="44" spans="1:21" s="1" customFormat="1" ht="13.5" customHeight="1">
      <c r="A44" s="31" t="s">
        <v>91</v>
      </c>
      <c r="B44" s="31"/>
      <c r="C44" s="31"/>
      <c r="D44" s="31"/>
      <c r="E44" s="31"/>
      <c r="F44" s="31"/>
      <c r="G44" s="32" t="s">
        <v>90</v>
      </c>
      <c r="H44" s="32"/>
      <c r="I44" s="32" t="s">
        <v>99</v>
      </c>
      <c r="J44" s="32"/>
      <c r="K44" s="33" t="s">
        <v>93</v>
      </c>
      <c r="L44" s="33"/>
      <c r="M44" s="34">
        <f>8669122</f>
        <v>8669122</v>
      </c>
      <c r="N44" s="34"/>
      <c r="O44" s="34">
        <f>2164195.7</f>
        <v>2164195.7</v>
      </c>
      <c r="P44" s="34"/>
      <c r="Q44" s="34"/>
      <c r="R44" s="34"/>
      <c r="S44" s="34"/>
      <c r="T44" s="35">
        <f>6504926.3</f>
        <v>6504926.3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90</v>
      </c>
      <c r="H45" s="32"/>
      <c r="I45" s="32" t="s">
        <v>99</v>
      </c>
      <c r="J45" s="32"/>
      <c r="K45" s="33" t="s">
        <v>95</v>
      </c>
      <c r="L45" s="33"/>
      <c r="M45" s="34">
        <f>35000</f>
        <v>35000</v>
      </c>
      <c r="N45" s="34"/>
      <c r="O45" s="34">
        <f>6240.33</f>
        <v>6240.33</v>
      </c>
      <c r="P45" s="34"/>
      <c r="Q45" s="34"/>
      <c r="R45" s="34"/>
      <c r="S45" s="34"/>
      <c r="T45" s="35">
        <f>28759.67</f>
        <v>28759.67</v>
      </c>
      <c r="U45" s="35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90</v>
      </c>
      <c r="H46" s="32"/>
      <c r="I46" s="32" t="s">
        <v>100</v>
      </c>
      <c r="J46" s="32"/>
      <c r="K46" s="33" t="s">
        <v>98</v>
      </c>
      <c r="L46" s="33"/>
      <c r="M46" s="34">
        <f>2618075</f>
        <v>2618075</v>
      </c>
      <c r="N46" s="34"/>
      <c r="O46" s="34">
        <f>431269.94</f>
        <v>431269.94</v>
      </c>
      <c r="P46" s="34"/>
      <c r="Q46" s="34"/>
      <c r="R46" s="34"/>
      <c r="S46" s="34"/>
      <c r="T46" s="35">
        <f>2186805.06</f>
        <v>2186805.06</v>
      </c>
      <c r="U46" s="35"/>
    </row>
    <row r="47" spans="1:21" s="1" customFormat="1" ht="13.5" customHeight="1">
      <c r="A47" s="31" t="s">
        <v>91</v>
      </c>
      <c r="B47" s="31"/>
      <c r="C47" s="31"/>
      <c r="D47" s="31"/>
      <c r="E47" s="31"/>
      <c r="F47" s="31"/>
      <c r="G47" s="32" t="s">
        <v>90</v>
      </c>
      <c r="H47" s="32"/>
      <c r="I47" s="32" t="s">
        <v>101</v>
      </c>
      <c r="J47" s="32"/>
      <c r="K47" s="33" t="s">
        <v>93</v>
      </c>
      <c r="L47" s="33"/>
      <c r="M47" s="34">
        <f>4720359</f>
        <v>4720359</v>
      </c>
      <c r="N47" s="34"/>
      <c r="O47" s="34">
        <f>1258407.65</f>
        <v>1258407.65</v>
      </c>
      <c r="P47" s="34"/>
      <c r="Q47" s="34"/>
      <c r="R47" s="34"/>
      <c r="S47" s="34"/>
      <c r="T47" s="35">
        <f>3461951.35</f>
        <v>3461951.35</v>
      </c>
      <c r="U47" s="35"/>
    </row>
    <row r="48" spans="1:21" s="1" customFormat="1" ht="13.5" customHeight="1">
      <c r="A48" s="31" t="s">
        <v>94</v>
      </c>
      <c r="B48" s="31"/>
      <c r="C48" s="31"/>
      <c r="D48" s="31"/>
      <c r="E48" s="31"/>
      <c r="F48" s="31"/>
      <c r="G48" s="32" t="s">
        <v>90</v>
      </c>
      <c r="H48" s="32"/>
      <c r="I48" s="32" t="s">
        <v>101</v>
      </c>
      <c r="J48" s="32"/>
      <c r="K48" s="33" t="s">
        <v>95</v>
      </c>
      <c r="L48" s="33"/>
      <c r="M48" s="34">
        <f>23476</f>
        <v>23476</v>
      </c>
      <c r="N48" s="34"/>
      <c r="O48" s="36" t="s">
        <v>42</v>
      </c>
      <c r="P48" s="36"/>
      <c r="Q48" s="36"/>
      <c r="R48" s="36"/>
      <c r="S48" s="36"/>
      <c r="T48" s="35">
        <f>23476</f>
        <v>23476</v>
      </c>
      <c r="U48" s="35"/>
    </row>
    <row r="49" spans="1:21" s="1" customFormat="1" ht="13.5" customHeight="1">
      <c r="A49" s="31" t="s">
        <v>96</v>
      </c>
      <c r="B49" s="31"/>
      <c r="C49" s="31"/>
      <c r="D49" s="31"/>
      <c r="E49" s="31"/>
      <c r="F49" s="31"/>
      <c r="G49" s="32" t="s">
        <v>90</v>
      </c>
      <c r="H49" s="32"/>
      <c r="I49" s="32" t="s">
        <v>102</v>
      </c>
      <c r="J49" s="32"/>
      <c r="K49" s="33" t="s">
        <v>98</v>
      </c>
      <c r="L49" s="33"/>
      <c r="M49" s="34">
        <f>1425548</f>
        <v>1425548</v>
      </c>
      <c r="N49" s="34"/>
      <c r="O49" s="34">
        <f>330640.74</f>
        <v>330640.74</v>
      </c>
      <c r="P49" s="34"/>
      <c r="Q49" s="34"/>
      <c r="R49" s="34"/>
      <c r="S49" s="34"/>
      <c r="T49" s="35">
        <f>1094907.26</f>
        <v>1094907.26</v>
      </c>
      <c r="U49" s="35"/>
    </row>
    <row r="50" spans="1:21" s="1" customFormat="1" ht="13.5" customHeight="1">
      <c r="A50" s="31" t="s">
        <v>103</v>
      </c>
      <c r="B50" s="31"/>
      <c r="C50" s="31"/>
      <c r="D50" s="31"/>
      <c r="E50" s="31"/>
      <c r="F50" s="31"/>
      <c r="G50" s="32" t="s">
        <v>90</v>
      </c>
      <c r="H50" s="32"/>
      <c r="I50" s="32" t="s">
        <v>104</v>
      </c>
      <c r="J50" s="32"/>
      <c r="K50" s="33" t="s">
        <v>105</v>
      </c>
      <c r="L50" s="33"/>
      <c r="M50" s="34">
        <f>20000</f>
        <v>20000</v>
      </c>
      <c r="N50" s="34"/>
      <c r="O50" s="36" t="s">
        <v>42</v>
      </c>
      <c r="P50" s="36"/>
      <c r="Q50" s="36"/>
      <c r="R50" s="36"/>
      <c r="S50" s="36"/>
      <c r="T50" s="35">
        <f>20000</f>
        <v>20000</v>
      </c>
      <c r="U50" s="35"/>
    </row>
    <row r="51" spans="1:21" s="1" customFormat="1" ht="13.5" customHeight="1">
      <c r="A51" s="31" t="s">
        <v>106</v>
      </c>
      <c r="B51" s="31"/>
      <c r="C51" s="31"/>
      <c r="D51" s="31"/>
      <c r="E51" s="31"/>
      <c r="F51" s="31"/>
      <c r="G51" s="32" t="s">
        <v>90</v>
      </c>
      <c r="H51" s="32"/>
      <c r="I51" s="32" t="s">
        <v>104</v>
      </c>
      <c r="J51" s="32"/>
      <c r="K51" s="33" t="s">
        <v>107</v>
      </c>
      <c r="L51" s="33"/>
      <c r="M51" s="34">
        <f>250000</f>
        <v>250000</v>
      </c>
      <c r="N51" s="34"/>
      <c r="O51" s="36" t="s">
        <v>42</v>
      </c>
      <c r="P51" s="36"/>
      <c r="Q51" s="36"/>
      <c r="R51" s="36"/>
      <c r="S51" s="36"/>
      <c r="T51" s="35">
        <f>250000</f>
        <v>250000</v>
      </c>
      <c r="U51" s="35"/>
    </row>
    <row r="52" spans="1:21" s="1" customFormat="1" ht="13.5" customHeight="1">
      <c r="A52" s="31" t="s">
        <v>108</v>
      </c>
      <c r="B52" s="31"/>
      <c r="C52" s="31"/>
      <c r="D52" s="31"/>
      <c r="E52" s="31"/>
      <c r="F52" s="31"/>
      <c r="G52" s="32" t="s">
        <v>90</v>
      </c>
      <c r="H52" s="32"/>
      <c r="I52" s="32" t="s">
        <v>104</v>
      </c>
      <c r="J52" s="32"/>
      <c r="K52" s="33" t="s">
        <v>109</v>
      </c>
      <c r="L52" s="33"/>
      <c r="M52" s="34">
        <f>8451.22</f>
        <v>8451.22</v>
      </c>
      <c r="N52" s="34"/>
      <c r="O52" s="36" t="s">
        <v>42</v>
      </c>
      <c r="P52" s="36"/>
      <c r="Q52" s="36"/>
      <c r="R52" s="36"/>
      <c r="S52" s="36"/>
      <c r="T52" s="35">
        <f>8451.22</f>
        <v>8451.22</v>
      </c>
      <c r="U52" s="35"/>
    </row>
    <row r="53" spans="1:21" s="1" customFormat="1" ht="13.5" customHeight="1">
      <c r="A53" s="31" t="s">
        <v>110</v>
      </c>
      <c r="B53" s="31"/>
      <c r="C53" s="31"/>
      <c r="D53" s="31"/>
      <c r="E53" s="31"/>
      <c r="F53" s="31"/>
      <c r="G53" s="32" t="s">
        <v>90</v>
      </c>
      <c r="H53" s="32"/>
      <c r="I53" s="32" t="s">
        <v>104</v>
      </c>
      <c r="J53" s="32"/>
      <c r="K53" s="33" t="s">
        <v>111</v>
      </c>
      <c r="L53" s="33"/>
      <c r="M53" s="34">
        <f>200000</f>
        <v>200000</v>
      </c>
      <c r="N53" s="34"/>
      <c r="O53" s="36" t="s">
        <v>42</v>
      </c>
      <c r="P53" s="36"/>
      <c r="Q53" s="36"/>
      <c r="R53" s="36"/>
      <c r="S53" s="36"/>
      <c r="T53" s="35">
        <f>200000</f>
        <v>200000</v>
      </c>
      <c r="U53" s="35"/>
    </row>
    <row r="54" spans="1:21" s="1" customFormat="1" ht="13.5" customHeight="1">
      <c r="A54" s="31" t="s">
        <v>112</v>
      </c>
      <c r="B54" s="31"/>
      <c r="C54" s="31"/>
      <c r="D54" s="31"/>
      <c r="E54" s="31"/>
      <c r="F54" s="31"/>
      <c r="G54" s="32" t="s">
        <v>90</v>
      </c>
      <c r="H54" s="32"/>
      <c r="I54" s="32" t="s">
        <v>113</v>
      </c>
      <c r="J54" s="32"/>
      <c r="K54" s="33" t="s">
        <v>114</v>
      </c>
      <c r="L54" s="33"/>
      <c r="M54" s="34">
        <f>26579</f>
        <v>26579</v>
      </c>
      <c r="N54" s="34"/>
      <c r="O54" s="34">
        <f>26579</f>
        <v>26579</v>
      </c>
      <c r="P54" s="34"/>
      <c r="Q54" s="34"/>
      <c r="R54" s="34"/>
      <c r="S54" s="34"/>
      <c r="T54" s="35">
        <f>0</f>
        <v>0</v>
      </c>
      <c r="U54" s="35"/>
    </row>
    <row r="55" spans="1:21" s="1" customFormat="1" ht="13.5" customHeight="1">
      <c r="A55" s="31" t="s">
        <v>115</v>
      </c>
      <c r="B55" s="31"/>
      <c r="C55" s="31"/>
      <c r="D55" s="31"/>
      <c r="E55" s="31"/>
      <c r="F55" s="31"/>
      <c r="G55" s="32" t="s">
        <v>90</v>
      </c>
      <c r="H55" s="32"/>
      <c r="I55" s="32" t="s">
        <v>116</v>
      </c>
      <c r="J55" s="32"/>
      <c r="K55" s="33" t="s">
        <v>117</v>
      </c>
      <c r="L55" s="33"/>
      <c r="M55" s="34">
        <f>100000</f>
        <v>100000</v>
      </c>
      <c r="N55" s="34"/>
      <c r="O55" s="36" t="s">
        <v>42</v>
      </c>
      <c r="P55" s="36"/>
      <c r="Q55" s="36"/>
      <c r="R55" s="36"/>
      <c r="S55" s="36"/>
      <c r="T55" s="35">
        <f>100000</f>
        <v>100000</v>
      </c>
      <c r="U55" s="35"/>
    </row>
    <row r="56" spans="1:21" s="1" customFormat="1" ht="13.5" customHeight="1">
      <c r="A56" s="31" t="s">
        <v>108</v>
      </c>
      <c r="B56" s="31"/>
      <c r="C56" s="31"/>
      <c r="D56" s="31"/>
      <c r="E56" s="31"/>
      <c r="F56" s="31"/>
      <c r="G56" s="32" t="s">
        <v>90</v>
      </c>
      <c r="H56" s="32"/>
      <c r="I56" s="32" t="s">
        <v>118</v>
      </c>
      <c r="J56" s="32"/>
      <c r="K56" s="33" t="s">
        <v>109</v>
      </c>
      <c r="L56" s="33"/>
      <c r="M56" s="34">
        <f>100000</f>
        <v>100000</v>
      </c>
      <c r="N56" s="34"/>
      <c r="O56" s="36" t="s">
        <v>42</v>
      </c>
      <c r="P56" s="36"/>
      <c r="Q56" s="36"/>
      <c r="R56" s="36"/>
      <c r="S56" s="36"/>
      <c r="T56" s="35">
        <f>100000</f>
        <v>100000</v>
      </c>
      <c r="U56" s="35"/>
    </row>
    <row r="57" spans="1:21" s="1" customFormat="1" ht="13.5" customHeight="1">
      <c r="A57" s="31" t="s">
        <v>119</v>
      </c>
      <c r="B57" s="31"/>
      <c r="C57" s="31"/>
      <c r="D57" s="31"/>
      <c r="E57" s="31"/>
      <c r="F57" s="31"/>
      <c r="G57" s="32" t="s">
        <v>90</v>
      </c>
      <c r="H57" s="32"/>
      <c r="I57" s="32" t="s">
        <v>120</v>
      </c>
      <c r="J57" s="32"/>
      <c r="K57" s="33" t="s">
        <v>121</v>
      </c>
      <c r="L57" s="33"/>
      <c r="M57" s="34">
        <f>53488.84</f>
        <v>53488.84</v>
      </c>
      <c r="N57" s="34"/>
      <c r="O57" s="34">
        <f>2526.32</f>
        <v>2526.32</v>
      </c>
      <c r="P57" s="34"/>
      <c r="Q57" s="34"/>
      <c r="R57" s="34"/>
      <c r="S57" s="34"/>
      <c r="T57" s="35">
        <f>50962.52</f>
        <v>50962.52</v>
      </c>
      <c r="U57" s="35"/>
    </row>
    <row r="58" spans="1:21" s="1" customFormat="1" ht="13.5" customHeight="1">
      <c r="A58" s="31" t="s">
        <v>122</v>
      </c>
      <c r="B58" s="31"/>
      <c r="C58" s="31"/>
      <c r="D58" s="31"/>
      <c r="E58" s="31"/>
      <c r="F58" s="31"/>
      <c r="G58" s="32" t="s">
        <v>90</v>
      </c>
      <c r="H58" s="32"/>
      <c r="I58" s="32" t="s">
        <v>120</v>
      </c>
      <c r="J58" s="32"/>
      <c r="K58" s="33" t="s">
        <v>123</v>
      </c>
      <c r="L58" s="33"/>
      <c r="M58" s="34">
        <f>690528</f>
        <v>690528</v>
      </c>
      <c r="N58" s="34"/>
      <c r="O58" s="34">
        <f>192950</f>
        <v>192950</v>
      </c>
      <c r="P58" s="34"/>
      <c r="Q58" s="34"/>
      <c r="R58" s="34"/>
      <c r="S58" s="34"/>
      <c r="T58" s="35">
        <f>497578</f>
        <v>497578</v>
      </c>
      <c r="U58" s="35"/>
    </row>
    <row r="59" spans="1:21" s="1" customFormat="1" ht="13.5" customHeight="1">
      <c r="A59" s="31" t="s">
        <v>108</v>
      </c>
      <c r="B59" s="31"/>
      <c r="C59" s="31"/>
      <c r="D59" s="31"/>
      <c r="E59" s="31"/>
      <c r="F59" s="31"/>
      <c r="G59" s="32" t="s">
        <v>90</v>
      </c>
      <c r="H59" s="32"/>
      <c r="I59" s="32" t="s">
        <v>120</v>
      </c>
      <c r="J59" s="32"/>
      <c r="K59" s="33" t="s">
        <v>109</v>
      </c>
      <c r="L59" s="33"/>
      <c r="M59" s="34">
        <f>175000</f>
        <v>175000</v>
      </c>
      <c r="N59" s="34"/>
      <c r="O59" s="34">
        <f>2006</f>
        <v>2006</v>
      </c>
      <c r="P59" s="34"/>
      <c r="Q59" s="34"/>
      <c r="R59" s="34"/>
      <c r="S59" s="34"/>
      <c r="T59" s="35">
        <f>172994</f>
        <v>172994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90</v>
      </c>
      <c r="H60" s="32"/>
      <c r="I60" s="32" t="s">
        <v>120</v>
      </c>
      <c r="J60" s="32"/>
      <c r="K60" s="33" t="s">
        <v>125</v>
      </c>
      <c r="L60" s="33"/>
      <c r="M60" s="34">
        <f>280000</f>
        <v>280000</v>
      </c>
      <c r="N60" s="34"/>
      <c r="O60" s="34">
        <f>35810</f>
        <v>35810</v>
      </c>
      <c r="P60" s="34"/>
      <c r="Q60" s="34"/>
      <c r="R60" s="34"/>
      <c r="S60" s="34"/>
      <c r="T60" s="35">
        <f>244190</f>
        <v>244190</v>
      </c>
      <c r="U60" s="35"/>
    </row>
    <row r="61" spans="1:21" s="1" customFormat="1" ht="13.5" customHeight="1">
      <c r="A61" s="31" t="s">
        <v>126</v>
      </c>
      <c r="B61" s="31"/>
      <c r="C61" s="31"/>
      <c r="D61" s="31"/>
      <c r="E61" s="31"/>
      <c r="F61" s="31"/>
      <c r="G61" s="32" t="s">
        <v>90</v>
      </c>
      <c r="H61" s="32"/>
      <c r="I61" s="32" t="s">
        <v>120</v>
      </c>
      <c r="J61" s="32"/>
      <c r="K61" s="33" t="s">
        <v>127</v>
      </c>
      <c r="L61" s="33"/>
      <c r="M61" s="34">
        <f>713419.84</f>
        <v>713419.84</v>
      </c>
      <c r="N61" s="34"/>
      <c r="O61" s="34">
        <f>148854.04</f>
        <v>148854.04</v>
      </c>
      <c r="P61" s="34"/>
      <c r="Q61" s="34"/>
      <c r="R61" s="34"/>
      <c r="S61" s="34"/>
      <c r="T61" s="35">
        <f>564565.8</f>
        <v>564565.8</v>
      </c>
      <c r="U61" s="35"/>
    </row>
    <row r="62" spans="1:21" s="1" customFormat="1" ht="13.5" customHeight="1">
      <c r="A62" s="31" t="s">
        <v>128</v>
      </c>
      <c r="B62" s="31"/>
      <c r="C62" s="31"/>
      <c r="D62" s="31"/>
      <c r="E62" s="31"/>
      <c r="F62" s="31"/>
      <c r="G62" s="32" t="s">
        <v>90</v>
      </c>
      <c r="H62" s="32"/>
      <c r="I62" s="32" t="s">
        <v>120</v>
      </c>
      <c r="J62" s="32"/>
      <c r="K62" s="33" t="s">
        <v>129</v>
      </c>
      <c r="L62" s="33"/>
      <c r="M62" s="34">
        <f>40000</f>
        <v>40000</v>
      </c>
      <c r="N62" s="34"/>
      <c r="O62" s="36" t="s">
        <v>42</v>
      </c>
      <c r="P62" s="36"/>
      <c r="Q62" s="36"/>
      <c r="R62" s="36"/>
      <c r="S62" s="36"/>
      <c r="T62" s="35">
        <f>40000</f>
        <v>40000</v>
      </c>
      <c r="U62" s="35"/>
    </row>
    <row r="63" spans="1:21" s="1" customFormat="1" ht="13.5" customHeight="1">
      <c r="A63" s="31" t="s">
        <v>119</v>
      </c>
      <c r="B63" s="31"/>
      <c r="C63" s="31"/>
      <c r="D63" s="31"/>
      <c r="E63" s="31"/>
      <c r="F63" s="31"/>
      <c r="G63" s="32" t="s">
        <v>90</v>
      </c>
      <c r="H63" s="32"/>
      <c r="I63" s="32" t="s">
        <v>130</v>
      </c>
      <c r="J63" s="32"/>
      <c r="K63" s="33" t="s">
        <v>121</v>
      </c>
      <c r="L63" s="33"/>
      <c r="M63" s="34">
        <f>788648.64</f>
        <v>788648.64</v>
      </c>
      <c r="N63" s="34"/>
      <c r="O63" s="34">
        <f>98121.47</f>
        <v>98121.47</v>
      </c>
      <c r="P63" s="34"/>
      <c r="Q63" s="34"/>
      <c r="R63" s="34"/>
      <c r="S63" s="34"/>
      <c r="T63" s="35">
        <f>690527.17</f>
        <v>690527.17</v>
      </c>
      <c r="U63" s="35"/>
    </row>
    <row r="64" spans="1:21" s="1" customFormat="1" ht="13.5" customHeight="1">
      <c r="A64" s="31" t="s">
        <v>119</v>
      </c>
      <c r="B64" s="31"/>
      <c r="C64" s="31"/>
      <c r="D64" s="31"/>
      <c r="E64" s="31"/>
      <c r="F64" s="31"/>
      <c r="G64" s="32" t="s">
        <v>90</v>
      </c>
      <c r="H64" s="32"/>
      <c r="I64" s="32" t="s">
        <v>131</v>
      </c>
      <c r="J64" s="32"/>
      <c r="K64" s="33" t="s">
        <v>121</v>
      </c>
      <c r="L64" s="33"/>
      <c r="M64" s="34">
        <f>49263.07</f>
        <v>49263.07</v>
      </c>
      <c r="N64" s="34"/>
      <c r="O64" s="34">
        <f>241.82</f>
        <v>241.82</v>
      </c>
      <c r="P64" s="34"/>
      <c r="Q64" s="34"/>
      <c r="R64" s="34"/>
      <c r="S64" s="34"/>
      <c r="T64" s="35">
        <f>49021.25</f>
        <v>49021.25</v>
      </c>
      <c r="U64" s="35"/>
    </row>
    <row r="65" spans="1:21" s="1" customFormat="1" ht="13.5" customHeight="1">
      <c r="A65" s="31" t="s">
        <v>122</v>
      </c>
      <c r="B65" s="31"/>
      <c r="C65" s="31"/>
      <c r="D65" s="31"/>
      <c r="E65" s="31"/>
      <c r="F65" s="31"/>
      <c r="G65" s="32" t="s">
        <v>90</v>
      </c>
      <c r="H65" s="32"/>
      <c r="I65" s="32" t="s">
        <v>131</v>
      </c>
      <c r="J65" s="32"/>
      <c r="K65" s="33" t="s">
        <v>123</v>
      </c>
      <c r="L65" s="33"/>
      <c r="M65" s="34">
        <f>62480</f>
        <v>62480</v>
      </c>
      <c r="N65" s="34"/>
      <c r="O65" s="36" t="s">
        <v>42</v>
      </c>
      <c r="P65" s="36"/>
      <c r="Q65" s="36"/>
      <c r="R65" s="36"/>
      <c r="S65" s="36"/>
      <c r="T65" s="35">
        <f>62480</f>
        <v>62480</v>
      </c>
      <c r="U65" s="35"/>
    </row>
    <row r="66" spans="1:21" s="1" customFormat="1" ht="13.5" customHeight="1">
      <c r="A66" s="31" t="s">
        <v>132</v>
      </c>
      <c r="B66" s="31"/>
      <c r="C66" s="31"/>
      <c r="D66" s="31"/>
      <c r="E66" s="31"/>
      <c r="F66" s="31"/>
      <c r="G66" s="32" t="s">
        <v>90</v>
      </c>
      <c r="H66" s="32"/>
      <c r="I66" s="32" t="s">
        <v>131</v>
      </c>
      <c r="J66" s="32"/>
      <c r="K66" s="33" t="s">
        <v>133</v>
      </c>
      <c r="L66" s="33"/>
      <c r="M66" s="34">
        <f>200000</f>
        <v>200000</v>
      </c>
      <c r="N66" s="34"/>
      <c r="O66" s="34">
        <f>188600</f>
        <v>188600</v>
      </c>
      <c r="P66" s="34"/>
      <c r="Q66" s="34"/>
      <c r="R66" s="34"/>
      <c r="S66" s="34"/>
      <c r="T66" s="35">
        <f>11400</f>
        <v>11400</v>
      </c>
      <c r="U66" s="35"/>
    </row>
    <row r="67" spans="1:21" s="1" customFormat="1" ht="13.5" customHeight="1">
      <c r="A67" s="31" t="s">
        <v>119</v>
      </c>
      <c r="B67" s="31"/>
      <c r="C67" s="31"/>
      <c r="D67" s="31"/>
      <c r="E67" s="31"/>
      <c r="F67" s="31"/>
      <c r="G67" s="32" t="s">
        <v>90</v>
      </c>
      <c r="H67" s="32"/>
      <c r="I67" s="32" t="s">
        <v>134</v>
      </c>
      <c r="J67" s="32"/>
      <c r="K67" s="33" t="s">
        <v>121</v>
      </c>
      <c r="L67" s="33"/>
      <c r="M67" s="34">
        <f>999804</f>
        <v>999804</v>
      </c>
      <c r="N67" s="34"/>
      <c r="O67" s="34">
        <f>214152.74</f>
        <v>214152.74</v>
      </c>
      <c r="P67" s="34"/>
      <c r="Q67" s="34"/>
      <c r="R67" s="34"/>
      <c r="S67" s="34"/>
      <c r="T67" s="35">
        <f>785651.26</f>
        <v>785651.26</v>
      </c>
      <c r="U67" s="35"/>
    </row>
    <row r="68" spans="1:21" s="1" customFormat="1" ht="13.5" customHeight="1">
      <c r="A68" s="31" t="s">
        <v>135</v>
      </c>
      <c r="B68" s="31"/>
      <c r="C68" s="31"/>
      <c r="D68" s="31"/>
      <c r="E68" s="31"/>
      <c r="F68" s="31"/>
      <c r="G68" s="32" t="s">
        <v>90</v>
      </c>
      <c r="H68" s="32"/>
      <c r="I68" s="32" t="s">
        <v>136</v>
      </c>
      <c r="J68" s="32"/>
      <c r="K68" s="33" t="s">
        <v>137</v>
      </c>
      <c r="L68" s="33"/>
      <c r="M68" s="34">
        <f>10000</f>
        <v>10000</v>
      </c>
      <c r="N68" s="34"/>
      <c r="O68" s="36" t="s">
        <v>42</v>
      </c>
      <c r="P68" s="36"/>
      <c r="Q68" s="36"/>
      <c r="R68" s="36"/>
      <c r="S68" s="36"/>
      <c r="T68" s="35">
        <f>10000</f>
        <v>10000</v>
      </c>
      <c r="U68" s="35"/>
    </row>
    <row r="69" spans="1:21" s="1" customFormat="1" ht="13.5" customHeight="1">
      <c r="A69" s="31" t="s">
        <v>135</v>
      </c>
      <c r="B69" s="31"/>
      <c r="C69" s="31"/>
      <c r="D69" s="31"/>
      <c r="E69" s="31"/>
      <c r="F69" s="31"/>
      <c r="G69" s="32" t="s">
        <v>90</v>
      </c>
      <c r="H69" s="32"/>
      <c r="I69" s="32" t="s">
        <v>138</v>
      </c>
      <c r="J69" s="32"/>
      <c r="K69" s="33" t="s">
        <v>137</v>
      </c>
      <c r="L69" s="33"/>
      <c r="M69" s="34">
        <f>100000</f>
        <v>100000</v>
      </c>
      <c r="N69" s="34"/>
      <c r="O69" s="36" t="s">
        <v>42</v>
      </c>
      <c r="P69" s="36"/>
      <c r="Q69" s="36"/>
      <c r="R69" s="36"/>
      <c r="S69" s="36"/>
      <c r="T69" s="35">
        <f>100000</f>
        <v>100000</v>
      </c>
      <c r="U69" s="35"/>
    </row>
    <row r="70" spans="1:21" s="1" customFormat="1" ht="13.5" customHeight="1">
      <c r="A70" s="31" t="s">
        <v>115</v>
      </c>
      <c r="B70" s="31"/>
      <c r="C70" s="31"/>
      <c r="D70" s="31"/>
      <c r="E70" s="31"/>
      <c r="F70" s="31"/>
      <c r="G70" s="32" t="s">
        <v>90</v>
      </c>
      <c r="H70" s="32"/>
      <c r="I70" s="32" t="s">
        <v>139</v>
      </c>
      <c r="J70" s="32"/>
      <c r="K70" s="33" t="s">
        <v>117</v>
      </c>
      <c r="L70" s="33"/>
      <c r="M70" s="34">
        <f>15000</f>
        <v>15000</v>
      </c>
      <c r="N70" s="34"/>
      <c r="O70" s="36" t="s">
        <v>42</v>
      </c>
      <c r="P70" s="36"/>
      <c r="Q70" s="36"/>
      <c r="R70" s="36"/>
      <c r="S70" s="36"/>
      <c r="T70" s="35">
        <f>15000</f>
        <v>15000</v>
      </c>
      <c r="U70" s="35"/>
    </row>
    <row r="71" spans="1:21" s="1" customFormat="1" ht="13.5" customHeight="1">
      <c r="A71" s="31" t="s">
        <v>91</v>
      </c>
      <c r="B71" s="31"/>
      <c r="C71" s="31"/>
      <c r="D71" s="31"/>
      <c r="E71" s="31"/>
      <c r="F71" s="31"/>
      <c r="G71" s="32" t="s">
        <v>90</v>
      </c>
      <c r="H71" s="32"/>
      <c r="I71" s="32" t="s">
        <v>140</v>
      </c>
      <c r="J71" s="32"/>
      <c r="K71" s="33" t="s">
        <v>93</v>
      </c>
      <c r="L71" s="33"/>
      <c r="M71" s="34">
        <f>414101</f>
        <v>414101</v>
      </c>
      <c r="N71" s="34"/>
      <c r="O71" s="34">
        <f>102513.49</f>
        <v>102513.49</v>
      </c>
      <c r="P71" s="34"/>
      <c r="Q71" s="34"/>
      <c r="R71" s="34"/>
      <c r="S71" s="34"/>
      <c r="T71" s="35">
        <f>311587.51</f>
        <v>311587.51</v>
      </c>
      <c r="U71" s="35"/>
    </row>
    <row r="72" spans="1:21" s="1" customFormat="1" ht="13.5" customHeight="1">
      <c r="A72" s="31" t="s">
        <v>94</v>
      </c>
      <c r="B72" s="31"/>
      <c r="C72" s="31"/>
      <c r="D72" s="31"/>
      <c r="E72" s="31"/>
      <c r="F72" s="31"/>
      <c r="G72" s="32" t="s">
        <v>90</v>
      </c>
      <c r="H72" s="32"/>
      <c r="I72" s="32" t="s">
        <v>140</v>
      </c>
      <c r="J72" s="32"/>
      <c r="K72" s="33" t="s">
        <v>95</v>
      </c>
      <c r="L72" s="33"/>
      <c r="M72" s="34">
        <f>1000</f>
        <v>1000</v>
      </c>
      <c r="N72" s="34"/>
      <c r="O72" s="36" t="s">
        <v>42</v>
      </c>
      <c r="P72" s="36"/>
      <c r="Q72" s="36"/>
      <c r="R72" s="36"/>
      <c r="S72" s="36"/>
      <c r="T72" s="35">
        <f>1000</f>
        <v>1000</v>
      </c>
      <c r="U72" s="35"/>
    </row>
    <row r="73" spans="1:21" s="1" customFormat="1" ht="13.5" customHeight="1">
      <c r="A73" s="31" t="s">
        <v>96</v>
      </c>
      <c r="B73" s="31"/>
      <c r="C73" s="31"/>
      <c r="D73" s="31"/>
      <c r="E73" s="31"/>
      <c r="F73" s="31"/>
      <c r="G73" s="32" t="s">
        <v>90</v>
      </c>
      <c r="H73" s="32"/>
      <c r="I73" s="32" t="s">
        <v>141</v>
      </c>
      <c r="J73" s="32"/>
      <c r="K73" s="33" t="s">
        <v>98</v>
      </c>
      <c r="L73" s="33"/>
      <c r="M73" s="34">
        <f>179599</f>
        <v>179599</v>
      </c>
      <c r="N73" s="34"/>
      <c r="O73" s="34">
        <f>11137.05</f>
        <v>11137.05</v>
      </c>
      <c r="P73" s="34"/>
      <c r="Q73" s="34"/>
      <c r="R73" s="34"/>
      <c r="S73" s="34"/>
      <c r="T73" s="35">
        <f>168461.95</f>
        <v>168461.95</v>
      </c>
      <c r="U73" s="35"/>
    </row>
    <row r="74" spans="1:21" s="1" customFormat="1" ht="13.5" customHeight="1">
      <c r="A74" s="31" t="s">
        <v>91</v>
      </c>
      <c r="B74" s="31"/>
      <c r="C74" s="31"/>
      <c r="D74" s="31"/>
      <c r="E74" s="31"/>
      <c r="F74" s="31"/>
      <c r="G74" s="32" t="s">
        <v>90</v>
      </c>
      <c r="H74" s="32"/>
      <c r="I74" s="32" t="s">
        <v>142</v>
      </c>
      <c r="J74" s="32"/>
      <c r="K74" s="33" t="s">
        <v>93</v>
      </c>
      <c r="L74" s="33"/>
      <c r="M74" s="34">
        <f>32806</f>
        <v>32806</v>
      </c>
      <c r="N74" s="34"/>
      <c r="O74" s="34">
        <f>3008</f>
        <v>3008</v>
      </c>
      <c r="P74" s="34"/>
      <c r="Q74" s="34"/>
      <c r="R74" s="34"/>
      <c r="S74" s="34"/>
      <c r="T74" s="35">
        <f>29798</f>
        <v>29798</v>
      </c>
      <c r="U74" s="35"/>
    </row>
    <row r="75" spans="1:21" s="1" customFormat="1" ht="13.5" customHeight="1">
      <c r="A75" s="31" t="s">
        <v>96</v>
      </c>
      <c r="B75" s="31"/>
      <c r="C75" s="31"/>
      <c r="D75" s="31"/>
      <c r="E75" s="31"/>
      <c r="F75" s="31"/>
      <c r="G75" s="32" t="s">
        <v>90</v>
      </c>
      <c r="H75" s="32"/>
      <c r="I75" s="32" t="s">
        <v>143</v>
      </c>
      <c r="J75" s="32"/>
      <c r="K75" s="33" t="s">
        <v>98</v>
      </c>
      <c r="L75" s="33"/>
      <c r="M75" s="34">
        <f>14194</f>
        <v>14194</v>
      </c>
      <c r="N75" s="34"/>
      <c r="O75" s="34">
        <f>908.42</f>
        <v>908.42</v>
      </c>
      <c r="P75" s="34"/>
      <c r="Q75" s="34"/>
      <c r="R75" s="34"/>
      <c r="S75" s="34"/>
      <c r="T75" s="35">
        <f>13285.58</f>
        <v>13285.58</v>
      </c>
      <c r="U75" s="35"/>
    </row>
    <row r="76" spans="1:21" s="1" customFormat="1" ht="13.5" customHeight="1">
      <c r="A76" s="31" t="s">
        <v>108</v>
      </c>
      <c r="B76" s="31"/>
      <c r="C76" s="31"/>
      <c r="D76" s="31"/>
      <c r="E76" s="31"/>
      <c r="F76" s="31"/>
      <c r="G76" s="32" t="s">
        <v>90</v>
      </c>
      <c r="H76" s="32"/>
      <c r="I76" s="32" t="s">
        <v>144</v>
      </c>
      <c r="J76" s="32"/>
      <c r="K76" s="33" t="s">
        <v>109</v>
      </c>
      <c r="L76" s="33"/>
      <c r="M76" s="34">
        <f>55626.9</f>
        <v>55626.9</v>
      </c>
      <c r="N76" s="34"/>
      <c r="O76" s="36" t="s">
        <v>42</v>
      </c>
      <c r="P76" s="36"/>
      <c r="Q76" s="36"/>
      <c r="R76" s="36"/>
      <c r="S76" s="36"/>
      <c r="T76" s="35">
        <f>55626.9</f>
        <v>55626.9</v>
      </c>
      <c r="U76" s="35"/>
    </row>
    <row r="77" spans="1:21" s="1" customFormat="1" ht="13.5" customHeight="1">
      <c r="A77" s="31" t="s">
        <v>126</v>
      </c>
      <c r="B77" s="31"/>
      <c r="C77" s="31"/>
      <c r="D77" s="31"/>
      <c r="E77" s="31"/>
      <c r="F77" s="31"/>
      <c r="G77" s="32" t="s">
        <v>90</v>
      </c>
      <c r="H77" s="32"/>
      <c r="I77" s="32" t="s">
        <v>144</v>
      </c>
      <c r="J77" s="32"/>
      <c r="K77" s="33" t="s">
        <v>127</v>
      </c>
      <c r="L77" s="33"/>
      <c r="M77" s="34">
        <f>26910</f>
        <v>26910</v>
      </c>
      <c r="N77" s="34"/>
      <c r="O77" s="36" t="s">
        <v>42</v>
      </c>
      <c r="P77" s="36"/>
      <c r="Q77" s="36"/>
      <c r="R77" s="36"/>
      <c r="S77" s="36"/>
      <c r="T77" s="35">
        <f>26910</f>
        <v>26910</v>
      </c>
      <c r="U77" s="35"/>
    </row>
    <row r="78" spans="1:21" s="1" customFormat="1" ht="13.5" customHeight="1">
      <c r="A78" s="31" t="s">
        <v>128</v>
      </c>
      <c r="B78" s="31"/>
      <c r="C78" s="31"/>
      <c r="D78" s="31"/>
      <c r="E78" s="31"/>
      <c r="F78" s="31"/>
      <c r="G78" s="32" t="s">
        <v>90</v>
      </c>
      <c r="H78" s="32"/>
      <c r="I78" s="32" t="s">
        <v>144</v>
      </c>
      <c r="J78" s="32"/>
      <c r="K78" s="33" t="s">
        <v>129</v>
      </c>
      <c r="L78" s="33"/>
      <c r="M78" s="34">
        <f>5000</f>
        <v>5000</v>
      </c>
      <c r="N78" s="34"/>
      <c r="O78" s="36" t="s">
        <v>42</v>
      </c>
      <c r="P78" s="36"/>
      <c r="Q78" s="36"/>
      <c r="R78" s="36"/>
      <c r="S78" s="36"/>
      <c r="T78" s="35">
        <f>5000</f>
        <v>5000</v>
      </c>
      <c r="U78" s="35"/>
    </row>
    <row r="79" spans="1:21" s="1" customFormat="1" ht="13.5" customHeight="1">
      <c r="A79" s="31" t="s">
        <v>108</v>
      </c>
      <c r="B79" s="31"/>
      <c r="C79" s="31"/>
      <c r="D79" s="31"/>
      <c r="E79" s="31"/>
      <c r="F79" s="31"/>
      <c r="G79" s="32" t="s">
        <v>90</v>
      </c>
      <c r="H79" s="32"/>
      <c r="I79" s="32" t="s">
        <v>145</v>
      </c>
      <c r="J79" s="32"/>
      <c r="K79" s="33" t="s">
        <v>109</v>
      </c>
      <c r="L79" s="33"/>
      <c r="M79" s="34">
        <f>289332.85</f>
        <v>289332.85</v>
      </c>
      <c r="N79" s="34"/>
      <c r="O79" s="34">
        <f>11700</f>
        <v>11700</v>
      </c>
      <c r="P79" s="34"/>
      <c r="Q79" s="34"/>
      <c r="R79" s="34"/>
      <c r="S79" s="34"/>
      <c r="T79" s="35">
        <f>277632.85</f>
        <v>277632.85</v>
      </c>
      <c r="U79" s="35"/>
    </row>
    <row r="80" spans="1:21" s="1" customFormat="1" ht="13.5" customHeight="1">
      <c r="A80" s="31" t="s">
        <v>124</v>
      </c>
      <c r="B80" s="31"/>
      <c r="C80" s="31"/>
      <c r="D80" s="31"/>
      <c r="E80" s="31"/>
      <c r="F80" s="31"/>
      <c r="G80" s="32" t="s">
        <v>90</v>
      </c>
      <c r="H80" s="32"/>
      <c r="I80" s="32" t="s">
        <v>145</v>
      </c>
      <c r="J80" s="32"/>
      <c r="K80" s="33" t="s">
        <v>125</v>
      </c>
      <c r="L80" s="33"/>
      <c r="M80" s="34">
        <f>50000</f>
        <v>50000</v>
      </c>
      <c r="N80" s="34"/>
      <c r="O80" s="34">
        <f>7538.4</f>
        <v>7538.4</v>
      </c>
      <c r="P80" s="34"/>
      <c r="Q80" s="34"/>
      <c r="R80" s="34"/>
      <c r="S80" s="34"/>
      <c r="T80" s="35">
        <f>42461.6</f>
        <v>42461.6</v>
      </c>
      <c r="U80" s="35"/>
    </row>
    <row r="81" spans="1:21" s="1" customFormat="1" ht="13.5" customHeight="1">
      <c r="A81" s="31" t="s">
        <v>126</v>
      </c>
      <c r="B81" s="31"/>
      <c r="C81" s="31"/>
      <c r="D81" s="31"/>
      <c r="E81" s="31"/>
      <c r="F81" s="31"/>
      <c r="G81" s="32" t="s">
        <v>90</v>
      </c>
      <c r="H81" s="32"/>
      <c r="I81" s="32" t="s">
        <v>145</v>
      </c>
      <c r="J81" s="32"/>
      <c r="K81" s="33" t="s">
        <v>127</v>
      </c>
      <c r="L81" s="33"/>
      <c r="M81" s="34">
        <f>15000</f>
        <v>15000</v>
      </c>
      <c r="N81" s="34"/>
      <c r="O81" s="36" t="s">
        <v>42</v>
      </c>
      <c r="P81" s="36"/>
      <c r="Q81" s="36"/>
      <c r="R81" s="36"/>
      <c r="S81" s="36"/>
      <c r="T81" s="35">
        <f>15000</f>
        <v>15000</v>
      </c>
      <c r="U81" s="35"/>
    </row>
    <row r="82" spans="1:21" s="1" customFormat="1" ht="13.5" customHeight="1">
      <c r="A82" s="31" t="s">
        <v>108</v>
      </c>
      <c r="B82" s="31"/>
      <c r="C82" s="31"/>
      <c r="D82" s="31"/>
      <c r="E82" s="31"/>
      <c r="F82" s="31"/>
      <c r="G82" s="32" t="s">
        <v>90</v>
      </c>
      <c r="H82" s="32"/>
      <c r="I82" s="32" t="s">
        <v>146</v>
      </c>
      <c r="J82" s="32"/>
      <c r="K82" s="33" t="s">
        <v>109</v>
      </c>
      <c r="L82" s="33"/>
      <c r="M82" s="34">
        <f>4000</f>
        <v>4000</v>
      </c>
      <c r="N82" s="34"/>
      <c r="O82" s="36" t="s">
        <v>42</v>
      </c>
      <c r="P82" s="36"/>
      <c r="Q82" s="36"/>
      <c r="R82" s="36"/>
      <c r="S82" s="36"/>
      <c r="T82" s="35">
        <f>4000</f>
        <v>4000</v>
      </c>
      <c r="U82" s="35"/>
    </row>
    <row r="83" spans="1:21" s="1" customFormat="1" ht="13.5" customHeight="1">
      <c r="A83" s="31" t="s">
        <v>128</v>
      </c>
      <c r="B83" s="31"/>
      <c r="C83" s="31"/>
      <c r="D83" s="31"/>
      <c r="E83" s="31"/>
      <c r="F83" s="31"/>
      <c r="G83" s="32" t="s">
        <v>90</v>
      </c>
      <c r="H83" s="32"/>
      <c r="I83" s="32" t="s">
        <v>146</v>
      </c>
      <c r="J83" s="32"/>
      <c r="K83" s="33" t="s">
        <v>129</v>
      </c>
      <c r="L83" s="33"/>
      <c r="M83" s="34">
        <f>6000</f>
        <v>6000</v>
      </c>
      <c r="N83" s="34"/>
      <c r="O83" s="36" t="s">
        <v>42</v>
      </c>
      <c r="P83" s="36"/>
      <c r="Q83" s="36"/>
      <c r="R83" s="36"/>
      <c r="S83" s="36"/>
      <c r="T83" s="35">
        <f>6000</f>
        <v>6000</v>
      </c>
      <c r="U83" s="35"/>
    </row>
    <row r="84" spans="1:21" s="1" customFormat="1" ht="13.5" customHeight="1">
      <c r="A84" s="31" t="s">
        <v>108</v>
      </c>
      <c r="B84" s="31"/>
      <c r="C84" s="31"/>
      <c r="D84" s="31"/>
      <c r="E84" s="31"/>
      <c r="F84" s="31"/>
      <c r="G84" s="32" t="s">
        <v>90</v>
      </c>
      <c r="H84" s="32"/>
      <c r="I84" s="32" t="s">
        <v>147</v>
      </c>
      <c r="J84" s="32"/>
      <c r="K84" s="33" t="s">
        <v>109</v>
      </c>
      <c r="L84" s="33"/>
      <c r="M84" s="34">
        <f>55600</f>
        <v>55600</v>
      </c>
      <c r="N84" s="34"/>
      <c r="O84" s="36" t="s">
        <v>42</v>
      </c>
      <c r="P84" s="36"/>
      <c r="Q84" s="36"/>
      <c r="R84" s="36"/>
      <c r="S84" s="36"/>
      <c r="T84" s="35">
        <f>55600</f>
        <v>55600</v>
      </c>
      <c r="U84" s="35"/>
    </row>
    <row r="85" spans="1:21" s="1" customFormat="1" ht="13.5" customHeight="1">
      <c r="A85" s="31" t="s">
        <v>108</v>
      </c>
      <c r="B85" s="31"/>
      <c r="C85" s="31"/>
      <c r="D85" s="31"/>
      <c r="E85" s="31"/>
      <c r="F85" s="31"/>
      <c r="G85" s="32" t="s">
        <v>90</v>
      </c>
      <c r="H85" s="32"/>
      <c r="I85" s="32" t="s">
        <v>148</v>
      </c>
      <c r="J85" s="32"/>
      <c r="K85" s="33" t="s">
        <v>109</v>
      </c>
      <c r="L85" s="33"/>
      <c r="M85" s="34">
        <f>50000</f>
        <v>50000</v>
      </c>
      <c r="N85" s="34"/>
      <c r="O85" s="36" t="s">
        <v>42</v>
      </c>
      <c r="P85" s="36"/>
      <c r="Q85" s="36"/>
      <c r="R85" s="36"/>
      <c r="S85" s="36"/>
      <c r="T85" s="35">
        <f>50000</f>
        <v>50000</v>
      </c>
      <c r="U85" s="35"/>
    </row>
    <row r="86" spans="1:21" s="1" customFormat="1" ht="13.5" customHeight="1">
      <c r="A86" s="31" t="s">
        <v>132</v>
      </c>
      <c r="B86" s="31"/>
      <c r="C86" s="31"/>
      <c r="D86" s="31"/>
      <c r="E86" s="31"/>
      <c r="F86" s="31"/>
      <c r="G86" s="32" t="s">
        <v>90</v>
      </c>
      <c r="H86" s="32"/>
      <c r="I86" s="32" t="s">
        <v>148</v>
      </c>
      <c r="J86" s="32"/>
      <c r="K86" s="33" t="s">
        <v>133</v>
      </c>
      <c r="L86" s="33"/>
      <c r="M86" s="34">
        <f>184000</f>
        <v>184000</v>
      </c>
      <c r="N86" s="34"/>
      <c r="O86" s="34">
        <f>156965</f>
        <v>156965</v>
      </c>
      <c r="P86" s="34"/>
      <c r="Q86" s="34"/>
      <c r="R86" s="34"/>
      <c r="S86" s="34"/>
      <c r="T86" s="35">
        <f>27035</f>
        <v>27035</v>
      </c>
      <c r="U86" s="35"/>
    </row>
    <row r="87" spans="1:21" s="1" customFormat="1" ht="13.5" customHeight="1">
      <c r="A87" s="31" t="s">
        <v>126</v>
      </c>
      <c r="B87" s="31"/>
      <c r="C87" s="31"/>
      <c r="D87" s="31"/>
      <c r="E87" s="31"/>
      <c r="F87" s="31"/>
      <c r="G87" s="32" t="s">
        <v>90</v>
      </c>
      <c r="H87" s="32"/>
      <c r="I87" s="32" t="s">
        <v>148</v>
      </c>
      <c r="J87" s="32"/>
      <c r="K87" s="33" t="s">
        <v>127</v>
      </c>
      <c r="L87" s="33"/>
      <c r="M87" s="34">
        <f>60000</f>
        <v>60000</v>
      </c>
      <c r="N87" s="34"/>
      <c r="O87" s="34">
        <f>59167.3</f>
        <v>59167.3</v>
      </c>
      <c r="P87" s="34"/>
      <c r="Q87" s="34"/>
      <c r="R87" s="34"/>
      <c r="S87" s="34"/>
      <c r="T87" s="35">
        <f>832.7</f>
        <v>832.7</v>
      </c>
      <c r="U87" s="35"/>
    </row>
    <row r="88" spans="1:21" s="1" customFormat="1" ht="13.5" customHeight="1">
      <c r="A88" s="31" t="s">
        <v>108</v>
      </c>
      <c r="B88" s="31"/>
      <c r="C88" s="31"/>
      <c r="D88" s="31"/>
      <c r="E88" s="31"/>
      <c r="F88" s="31"/>
      <c r="G88" s="32" t="s">
        <v>90</v>
      </c>
      <c r="H88" s="32"/>
      <c r="I88" s="32" t="s">
        <v>149</v>
      </c>
      <c r="J88" s="32"/>
      <c r="K88" s="33" t="s">
        <v>109</v>
      </c>
      <c r="L88" s="33"/>
      <c r="M88" s="34">
        <f>16000</f>
        <v>16000</v>
      </c>
      <c r="N88" s="34"/>
      <c r="O88" s="36" t="s">
        <v>42</v>
      </c>
      <c r="P88" s="36"/>
      <c r="Q88" s="36"/>
      <c r="R88" s="36"/>
      <c r="S88" s="36"/>
      <c r="T88" s="35">
        <f>16000</f>
        <v>16000</v>
      </c>
      <c r="U88" s="35"/>
    </row>
    <row r="89" spans="1:21" s="1" customFormat="1" ht="13.5" customHeight="1">
      <c r="A89" s="31" t="s">
        <v>108</v>
      </c>
      <c r="B89" s="31"/>
      <c r="C89" s="31"/>
      <c r="D89" s="31"/>
      <c r="E89" s="31"/>
      <c r="F89" s="31"/>
      <c r="G89" s="32" t="s">
        <v>90</v>
      </c>
      <c r="H89" s="32"/>
      <c r="I89" s="32" t="s">
        <v>150</v>
      </c>
      <c r="J89" s="32"/>
      <c r="K89" s="33" t="s">
        <v>109</v>
      </c>
      <c r="L89" s="33"/>
      <c r="M89" s="34">
        <f>4600</f>
        <v>4600</v>
      </c>
      <c r="N89" s="34"/>
      <c r="O89" s="36" t="s">
        <v>42</v>
      </c>
      <c r="P89" s="36"/>
      <c r="Q89" s="36"/>
      <c r="R89" s="36"/>
      <c r="S89" s="36"/>
      <c r="T89" s="35">
        <f>4600</f>
        <v>4600</v>
      </c>
      <c r="U89" s="35"/>
    </row>
    <row r="90" spans="1:21" s="1" customFormat="1" ht="13.5" customHeight="1">
      <c r="A90" s="31" t="s">
        <v>108</v>
      </c>
      <c r="B90" s="31"/>
      <c r="C90" s="31"/>
      <c r="D90" s="31"/>
      <c r="E90" s="31"/>
      <c r="F90" s="31"/>
      <c r="G90" s="32" t="s">
        <v>90</v>
      </c>
      <c r="H90" s="32"/>
      <c r="I90" s="32" t="s">
        <v>151</v>
      </c>
      <c r="J90" s="32"/>
      <c r="K90" s="33" t="s">
        <v>109</v>
      </c>
      <c r="L90" s="33"/>
      <c r="M90" s="34">
        <f>16200</f>
        <v>16200</v>
      </c>
      <c r="N90" s="34"/>
      <c r="O90" s="36" t="s">
        <v>42</v>
      </c>
      <c r="P90" s="36"/>
      <c r="Q90" s="36"/>
      <c r="R90" s="36"/>
      <c r="S90" s="36"/>
      <c r="T90" s="35">
        <f>16200</f>
        <v>16200</v>
      </c>
      <c r="U90" s="35"/>
    </row>
    <row r="91" spans="1:21" s="1" customFormat="1" ht="13.5" customHeight="1">
      <c r="A91" s="31" t="s">
        <v>108</v>
      </c>
      <c r="B91" s="31"/>
      <c r="C91" s="31"/>
      <c r="D91" s="31"/>
      <c r="E91" s="31"/>
      <c r="F91" s="31"/>
      <c r="G91" s="32" t="s">
        <v>90</v>
      </c>
      <c r="H91" s="32"/>
      <c r="I91" s="32" t="s">
        <v>152</v>
      </c>
      <c r="J91" s="32"/>
      <c r="K91" s="33" t="s">
        <v>109</v>
      </c>
      <c r="L91" s="33"/>
      <c r="M91" s="34">
        <f>16200</f>
        <v>16200</v>
      </c>
      <c r="N91" s="34"/>
      <c r="O91" s="36" t="s">
        <v>42</v>
      </c>
      <c r="P91" s="36"/>
      <c r="Q91" s="36"/>
      <c r="R91" s="36"/>
      <c r="S91" s="36"/>
      <c r="T91" s="35">
        <f>16200</f>
        <v>16200</v>
      </c>
      <c r="U91" s="35"/>
    </row>
    <row r="92" spans="1:21" s="1" customFormat="1" ht="13.5" customHeight="1">
      <c r="A92" s="31" t="s">
        <v>108</v>
      </c>
      <c r="B92" s="31"/>
      <c r="C92" s="31"/>
      <c r="D92" s="31"/>
      <c r="E92" s="31"/>
      <c r="F92" s="31"/>
      <c r="G92" s="32" t="s">
        <v>90</v>
      </c>
      <c r="H92" s="32"/>
      <c r="I92" s="32" t="s">
        <v>153</v>
      </c>
      <c r="J92" s="32"/>
      <c r="K92" s="33" t="s">
        <v>109</v>
      </c>
      <c r="L92" s="33"/>
      <c r="M92" s="34">
        <f>121212.12</f>
        <v>121212.12</v>
      </c>
      <c r="N92" s="34"/>
      <c r="O92" s="36" t="s">
        <v>42</v>
      </c>
      <c r="P92" s="36"/>
      <c r="Q92" s="36"/>
      <c r="R92" s="36"/>
      <c r="S92" s="36"/>
      <c r="T92" s="35">
        <f>121212.12</f>
        <v>121212.12</v>
      </c>
      <c r="U92" s="35"/>
    </row>
    <row r="93" spans="1:21" s="1" customFormat="1" ht="13.5" customHeight="1">
      <c r="A93" s="31" t="s">
        <v>108</v>
      </c>
      <c r="B93" s="31"/>
      <c r="C93" s="31"/>
      <c r="D93" s="31"/>
      <c r="E93" s="31"/>
      <c r="F93" s="31"/>
      <c r="G93" s="32" t="s">
        <v>90</v>
      </c>
      <c r="H93" s="32"/>
      <c r="I93" s="32" t="s">
        <v>154</v>
      </c>
      <c r="J93" s="32"/>
      <c r="K93" s="33" t="s">
        <v>109</v>
      </c>
      <c r="L93" s="33"/>
      <c r="M93" s="34">
        <f>8800</f>
        <v>8800</v>
      </c>
      <c r="N93" s="34"/>
      <c r="O93" s="36" t="s">
        <v>42</v>
      </c>
      <c r="P93" s="36"/>
      <c r="Q93" s="36"/>
      <c r="R93" s="36"/>
      <c r="S93" s="36"/>
      <c r="T93" s="35">
        <f>8800</f>
        <v>8800</v>
      </c>
      <c r="U93" s="35"/>
    </row>
    <row r="94" spans="1:21" s="1" customFormat="1" ht="13.5" customHeight="1">
      <c r="A94" s="31" t="s">
        <v>108</v>
      </c>
      <c r="B94" s="31"/>
      <c r="C94" s="31"/>
      <c r="D94" s="31"/>
      <c r="E94" s="31"/>
      <c r="F94" s="31"/>
      <c r="G94" s="32" t="s">
        <v>90</v>
      </c>
      <c r="H94" s="32"/>
      <c r="I94" s="32" t="s">
        <v>155</v>
      </c>
      <c r="J94" s="32"/>
      <c r="K94" s="33" t="s">
        <v>109</v>
      </c>
      <c r="L94" s="33"/>
      <c r="M94" s="34">
        <f>180000</f>
        <v>180000</v>
      </c>
      <c r="N94" s="34"/>
      <c r="O94" s="36" t="s">
        <v>42</v>
      </c>
      <c r="P94" s="36"/>
      <c r="Q94" s="36"/>
      <c r="R94" s="36"/>
      <c r="S94" s="36"/>
      <c r="T94" s="35">
        <f>180000</f>
        <v>180000</v>
      </c>
      <c r="U94" s="35"/>
    </row>
    <row r="95" spans="1:21" s="1" customFormat="1" ht="13.5" customHeight="1">
      <c r="A95" s="31" t="s">
        <v>122</v>
      </c>
      <c r="B95" s="31"/>
      <c r="C95" s="31"/>
      <c r="D95" s="31"/>
      <c r="E95" s="31"/>
      <c r="F95" s="31"/>
      <c r="G95" s="32" t="s">
        <v>90</v>
      </c>
      <c r="H95" s="32"/>
      <c r="I95" s="32" t="s">
        <v>156</v>
      </c>
      <c r="J95" s="32"/>
      <c r="K95" s="33" t="s">
        <v>123</v>
      </c>
      <c r="L95" s="33"/>
      <c r="M95" s="34">
        <f>882000</f>
        <v>882000</v>
      </c>
      <c r="N95" s="34"/>
      <c r="O95" s="36" t="s">
        <v>42</v>
      </c>
      <c r="P95" s="36"/>
      <c r="Q95" s="36"/>
      <c r="R95" s="36"/>
      <c r="S95" s="36"/>
      <c r="T95" s="35">
        <f>882000</f>
        <v>882000</v>
      </c>
      <c r="U95" s="35"/>
    </row>
    <row r="96" spans="1:21" s="1" customFormat="1" ht="13.5" customHeight="1">
      <c r="A96" s="31" t="s">
        <v>157</v>
      </c>
      <c r="B96" s="31"/>
      <c r="C96" s="31"/>
      <c r="D96" s="31"/>
      <c r="E96" s="31"/>
      <c r="F96" s="31"/>
      <c r="G96" s="32" t="s">
        <v>90</v>
      </c>
      <c r="H96" s="32"/>
      <c r="I96" s="32" t="s">
        <v>156</v>
      </c>
      <c r="J96" s="32"/>
      <c r="K96" s="33" t="s">
        <v>158</v>
      </c>
      <c r="L96" s="33"/>
      <c r="M96" s="34">
        <f>600000</f>
        <v>600000</v>
      </c>
      <c r="N96" s="34"/>
      <c r="O96" s="36" t="s">
        <v>42</v>
      </c>
      <c r="P96" s="36"/>
      <c r="Q96" s="36"/>
      <c r="R96" s="36"/>
      <c r="S96" s="36"/>
      <c r="T96" s="35">
        <f>600000</f>
        <v>600000</v>
      </c>
      <c r="U96" s="35"/>
    </row>
    <row r="97" spans="1:21" s="1" customFormat="1" ht="13.5" customHeight="1">
      <c r="A97" s="31" t="s">
        <v>122</v>
      </c>
      <c r="B97" s="31"/>
      <c r="C97" s="31"/>
      <c r="D97" s="31"/>
      <c r="E97" s="31"/>
      <c r="F97" s="31"/>
      <c r="G97" s="32" t="s">
        <v>90</v>
      </c>
      <c r="H97" s="32"/>
      <c r="I97" s="32" t="s">
        <v>159</v>
      </c>
      <c r="J97" s="32"/>
      <c r="K97" s="33" t="s">
        <v>123</v>
      </c>
      <c r="L97" s="33"/>
      <c r="M97" s="34">
        <f>5044252.93</f>
        <v>5044252.93</v>
      </c>
      <c r="N97" s="34"/>
      <c r="O97" s="34">
        <f>572500</f>
        <v>572500</v>
      </c>
      <c r="P97" s="34"/>
      <c r="Q97" s="34"/>
      <c r="R97" s="34"/>
      <c r="S97" s="34"/>
      <c r="T97" s="35">
        <f>4471752.93</f>
        <v>4471752.93</v>
      </c>
      <c r="U97" s="35"/>
    </row>
    <row r="98" spans="1:21" s="1" customFormat="1" ht="13.5" customHeight="1">
      <c r="A98" s="31" t="s">
        <v>108</v>
      </c>
      <c r="B98" s="31"/>
      <c r="C98" s="31"/>
      <c r="D98" s="31"/>
      <c r="E98" s="31"/>
      <c r="F98" s="31"/>
      <c r="G98" s="32" t="s">
        <v>90</v>
      </c>
      <c r="H98" s="32"/>
      <c r="I98" s="32" t="s">
        <v>159</v>
      </c>
      <c r="J98" s="32"/>
      <c r="K98" s="33" t="s">
        <v>109</v>
      </c>
      <c r="L98" s="33"/>
      <c r="M98" s="34">
        <f>4836240.91</f>
        <v>4836240.91</v>
      </c>
      <c r="N98" s="34"/>
      <c r="O98" s="36" t="s">
        <v>42</v>
      </c>
      <c r="P98" s="36"/>
      <c r="Q98" s="36"/>
      <c r="R98" s="36"/>
      <c r="S98" s="36"/>
      <c r="T98" s="35">
        <f>4836240.91</f>
        <v>4836240.91</v>
      </c>
      <c r="U98" s="35"/>
    </row>
    <row r="99" spans="1:21" s="1" customFormat="1" ht="13.5" customHeight="1">
      <c r="A99" s="31" t="s">
        <v>157</v>
      </c>
      <c r="B99" s="31"/>
      <c r="C99" s="31"/>
      <c r="D99" s="31"/>
      <c r="E99" s="31"/>
      <c r="F99" s="31"/>
      <c r="G99" s="32" t="s">
        <v>90</v>
      </c>
      <c r="H99" s="32"/>
      <c r="I99" s="32" t="s">
        <v>159</v>
      </c>
      <c r="J99" s="32"/>
      <c r="K99" s="33" t="s">
        <v>158</v>
      </c>
      <c r="L99" s="33"/>
      <c r="M99" s="34">
        <f>358698.72</f>
        <v>358698.72</v>
      </c>
      <c r="N99" s="34"/>
      <c r="O99" s="34">
        <f>358698.72</f>
        <v>358698.72</v>
      </c>
      <c r="P99" s="34"/>
      <c r="Q99" s="34"/>
      <c r="R99" s="34"/>
      <c r="S99" s="34"/>
      <c r="T99" s="35">
        <f>0</f>
        <v>0</v>
      </c>
      <c r="U99" s="35"/>
    </row>
    <row r="100" spans="1:21" s="1" customFormat="1" ht="13.5" customHeight="1">
      <c r="A100" s="31" t="s">
        <v>160</v>
      </c>
      <c r="B100" s="31"/>
      <c r="C100" s="31"/>
      <c r="D100" s="31"/>
      <c r="E100" s="31"/>
      <c r="F100" s="31"/>
      <c r="G100" s="32" t="s">
        <v>90</v>
      </c>
      <c r="H100" s="32"/>
      <c r="I100" s="32" t="s">
        <v>161</v>
      </c>
      <c r="J100" s="32"/>
      <c r="K100" s="33" t="s">
        <v>162</v>
      </c>
      <c r="L100" s="33"/>
      <c r="M100" s="34">
        <f>450703</f>
        <v>450703</v>
      </c>
      <c r="N100" s="34"/>
      <c r="O100" s="34">
        <f>39825.57</f>
        <v>39825.57</v>
      </c>
      <c r="P100" s="34"/>
      <c r="Q100" s="34"/>
      <c r="R100" s="34"/>
      <c r="S100" s="34"/>
      <c r="T100" s="35">
        <f>410877.43</f>
        <v>410877.43</v>
      </c>
      <c r="U100" s="35"/>
    </row>
    <row r="101" spans="1:21" s="1" customFormat="1" ht="13.5" customHeight="1">
      <c r="A101" s="31" t="s">
        <v>108</v>
      </c>
      <c r="B101" s="31"/>
      <c r="C101" s="31"/>
      <c r="D101" s="31"/>
      <c r="E101" s="31"/>
      <c r="F101" s="31"/>
      <c r="G101" s="32" t="s">
        <v>90</v>
      </c>
      <c r="H101" s="32"/>
      <c r="I101" s="32" t="s">
        <v>161</v>
      </c>
      <c r="J101" s="32"/>
      <c r="K101" s="33" t="s">
        <v>109</v>
      </c>
      <c r="L101" s="33"/>
      <c r="M101" s="34">
        <f>1024236</f>
        <v>1024236</v>
      </c>
      <c r="N101" s="34"/>
      <c r="O101" s="34">
        <f>299611.8</f>
        <v>299611.8</v>
      </c>
      <c r="P101" s="34"/>
      <c r="Q101" s="34"/>
      <c r="R101" s="34"/>
      <c r="S101" s="34"/>
      <c r="T101" s="35">
        <f>724624.2</f>
        <v>724624.2</v>
      </c>
      <c r="U101" s="35"/>
    </row>
    <row r="102" spans="1:21" s="1" customFormat="1" ht="13.5" customHeight="1">
      <c r="A102" s="31" t="s">
        <v>132</v>
      </c>
      <c r="B102" s="31"/>
      <c r="C102" s="31"/>
      <c r="D102" s="31"/>
      <c r="E102" s="31"/>
      <c r="F102" s="31"/>
      <c r="G102" s="32" t="s">
        <v>90</v>
      </c>
      <c r="H102" s="32"/>
      <c r="I102" s="32" t="s">
        <v>161</v>
      </c>
      <c r="J102" s="32"/>
      <c r="K102" s="33" t="s">
        <v>133</v>
      </c>
      <c r="L102" s="33"/>
      <c r="M102" s="34">
        <f>93750</f>
        <v>93750</v>
      </c>
      <c r="N102" s="34"/>
      <c r="O102" s="34">
        <f>73750</f>
        <v>73750</v>
      </c>
      <c r="P102" s="34"/>
      <c r="Q102" s="34"/>
      <c r="R102" s="34"/>
      <c r="S102" s="34"/>
      <c r="T102" s="35">
        <f>20000</f>
        <v>20000</v>
      </c>
      <c r="U102" s="35"/>
    </row>
    <row r="103" spans="1:21" s="1" customFormat="1" ht="13.5" customHeight="1">
      <c r="A103" s="31" t="s">
        <v>126</v>
      </c>
      <c r="B103" s="31"/>
      <c r="C103" s="31"/>
      <c r="D103" s="31"/>
      <c r="E103" s="31"/>
      <c r="F103" s="31"/>
      <c r="G103" s="32" t="s">
        <v>90</v>
      </c>
      <c r="H103" s="32"/>
      <c r="I103" s="32" t="s">
        <v>161</v>
      </c>
      <c r="J103" s="32"/>
      <c r="K103" s="33" t="s">
        <v>127</v>
      </c>
      <c r="L103" s="33"/>
      <c r="M103" s="34">
        <f>386336.58</f>
        <v>386336.58</v>
      </c>
      <c r="N103" s="34"/>
      <c r="O103" s="34">
        <f>30500</f>
        <v>30500</v>
      </c>
      <c r="P103" s="34"/>
      <c r="Q103" s="34"/>
      <c r="R103" s="34"/>
      <c r="S103" s="34"/>
      <c r="T103" s="35">
        <f>355836.58</f>
        <v>355836.58</v>
      </c>
      <c r="U103" s="35"/>
    </row>
    <row r="104" spans="1:21" s="1" customFormat="1" ht="13.5" customHeight="1">
      <c r="A104" s="31" t="s">
        <v>112</v>
      </c>
      <c r="B104" s="31"/>
      <c r="C104" s="31"/>
      <c r="D104" s="31"/>
      <c r="E104" s="31"/>
      <c r="F104" s="31"/>
      <c r="G104" s="32" t="s">
        <v>90</v>
      </c>
      <c r="H104" s="32"/>
      <c r="I104" s="32" t="s">
        <v>163</v>
      </c>
      <c r="J104" s="32"/>
      <c r="K104" s="33" t="s">
        <v>114</v>
      </c>
      <c r="L104" s="33"/>
      <c r="M104" s="34">
        <f>862247.92</f>
        <v>862247.92</v>
      </c>
      <c r="N104" s="34"/>
      <c r="O104" s="34">
        <f>215561.98</f>
        <v>215561.98</v>
      </c>
      <c r="P104" s="34"/>
      <c r="Q104" s="34"/>
      <c r="R104" s="34"/>
      <c r="S104" s="34"/>
      <c r="T104" s="35">
        <f>646685.94</f>
        <v>646685.94</v>
      </c>
      <c r="U104" s="35"/>
    </row>
    <row r="105" spans="1:21" s="1" customFormat="1" ht="13.5" customHeight="1">
      <c r="A105" s="31" t="s">
        <v>108</v>
      </c>
      <c r="B105" s="31"/>
      <c r="C105" s="31"/>
      <c r="D105" s="31"/>
      <c r="E105" s="31"/>
      <c r="F105" s="31"/>
      <c r="G105" s="32" t="s">
        <v>90</v>
      </c>
      <c r="H105" s="32"/>
      <c r="I105" s="32" t="s">
        <v>164</v>
      </c>
      <c r="J105" s="32"/>
      <c r="K105" s="33" t="s">
        <v>109</v>
      </c>
      <c r="L105" s="33"/>
      <c r="M105" s="34">
        <f>272507.9</f>
        <v>272507.9</v>
      </c>
      <c r="N105" s="34"/>
      <c r="O105" s="36" t="s">
        <v>42</v>
      </c>
      <c r="P105" s="36"/>
      <c r="Q105" s="36"/>
      <c r="R105" s="36"/>
      <c r="S105" s="36"/>
      <c r="T105" s="35">
        <f>272507.9</f>
        <v>272507.9</v>
      </c>
      <c r="U105" s="35"/>
    </row>
    <row r="106" spans="1:21" s="1" customFormat="1" ht="13.5" customHeight="1">
      <c r="A106" s="31" t="s">
        <v>122</v>
      </c>
      <c r="B106" s="31"/>
      <c r="C106" s="31"/>
      <c r="D106" s="31"/>
      <c r="E106" s="31"/>
      <c r="F106" s="31"/>
      <c r="G106" s="32" t="s">
        <v>90</v>
      </c>
      <c r="H106" s="32"/>
      <c r="I106" s="32" t="s">
        <v>165</v>
      </c>
      <c r="J106" s="32"/>
      <c r="K106" s="33" t="s">
        <v>123</v>
      </c>
      <c r="L106" s="33"/>
      <c r="M106" s="34">
        <f>926000</f>
        <v>926000</v>
      </c>
      <c r="N106" s="34"/>
      <c r="O106" s="34">
        <f>57831.83</f>
        <v>57831.83</v>
      </c>
      <c r="P106" s="34"/>
      <c r="Q106" s="34"/>
      <c r="R106" s="34"/>
      <c r="S106" s="34"/>
      <c r="T106" s="35">
        <f>868168.17</f>
        <v>868168.17</v>
      </c>
      <c r="U106" s="35"/>
    </row>
    <row r="107" spans="1:21" s="1" customFormat="1" ht="13.5" customHeight="1">
      <c r="A107" s="31" t="s">
        <v>108</v>
      </c>
      <c r="B107" s="31"/>
      <c r="C107" s="31"/>
      <c r="D107" s="31"/>
      <c r="E107" s="31"/>
      <c r="F107" s="31"/>
      <c r="G107" s="32" t="s">
        <v>90</v>
      </c>
      <c r="H107" s="32"/>
      <c r="I107" s="32" t="s">
        <v>165</v>
      </c>
      <c r="J107" s="32"/>
      <c r="K107" s="33" t="s">
        <v>109</v>
      </c>
      <c r="L107" s="33"/>
      <c r="M107" s="34">
        <f>310000</f>
        <v>310000</v>
      </c>
      <c r="N107" s="34"/>
      <c r="O107" s="34">
        <f>-10543.18</f>
        <v>-10543.18</v>
      </c>
      <c r="P107" s="34"/>
      <c r="Q107" s="34"/>
      <c r="R107" s="34"/>
      <c r="S107" s="34"/>
      <c r="T107" s="35">
        <f>320543.18</f>
        <v>320543.18</v>
      </c>
      <c r="U107" s="35"/>
    </row>
    <row r="108" spans="1:21" s="1" customFormat="1" ht="13.5" customHeight="1">
      <c r="A108" s="31" t="s">
        <v>157</v>
      </c>
      <c r="B108" s="31"/>
      <c r="C108" s="31"/>
      <c r="D108" s="31"/>
      <c r="E108" s="31"/>
      <c r="F108" s="31"/>
      <c r="G108" s="32" t="s">
        <v>90</v>
      </c>
      <c r="H108" s="32"/>
      <c r="I108" s="32" t="s">
        <v>165</v>
      </c>
      <c r="J108" s="32"/>
      <c r="K108" s="33" t="s">
        <v>158</v>
      </c>
      <c r="L108" s="33"/>
      <c r="M108" s="34">
        <f>250000</f>
        <v>250000</v>
      </c>
      <c r="N108" s="34"/>
      <c r="O108" s="34">
        <f>1520</f>
        <v>1520</v>
      </c>
      <c r="P108" s="34"/>
      <c r="Q108" s="34"/>
      <c r="R108" s="34"/>
      <c r="S108" s="34"/>
      <c r="T108" s="35">
        <f>248480</f>
        <v>248480</v>
      </c>
      <c r="U108" s="35"/>
    </row>
    <row r="109" spans="1:21" s="1" customFormat="1" ht="13.5" customHeight="1">
      <c r="A109" s="31" t="s">
        <v>126</v>
      </c>
      <c r="B109" s="31"/>
      <c r="C109" s="31"/>
      <c r="D109" s="31"/>
      <c r="E109" s="31"/>
      <c r="F109" s="31"/>
      <c r="G109" s="32" t="s">
        <v>90</v>
      </c>
      <c r="H109" s="32"/>
      <c r="I109" s="32" t="s">
        <v>165</v>
      </c>
      <c r="J109" s="32"/>
      <c r="K109" s="33" t="s">
        <v>127</v>
      </c>
      <c r="L109" s="33"/>
      <c r="M109" s="34">
        <f>200000</f>
        <v>200000</v>
      </c>
      <c r="N109" s="34"/>
      <c r="O109" s="34">
        <f>39145.3</f>
        <v>39145.3</v>
      </c>
      <c r="P109" s="34"/>
      <c r="Q109" s="34"/>
      <c r="R109" s="34"/>
      <c r="S109" s="34"/>
      <c r="T109" s="35">
        <f>160854.7</f>
        <v>160854.7</v>
      </c>
      <c r="U109" s="35"/>
    </row>
    <row r="110" spans="1:21" s="1" customFormat="1" ht="13.5" customHeight="1">
      <c r="A110" s="31" t="s">
        <v>132</v>
      </c>
      <c r="B110" s="31"/>
      <c r="C110" s="31"/>
      <c r="D110" s="31"/>
      <c r="E110" s="31"/>
      <c r="F110" s="31"/>
      <c r="G110" s="32" t="s">
        <v>90</v>
      </c>
      <c r="H110" s="32"/>
      <c r="I110" s="32" t="s">
        <v>166</v>
      </c>
      <c r="J110" s="32"/>
      <c r="K110" s="33" t="s">
        <v>133</v>
      </c>
      <c r="L110" s="33"/>
      <c r="M110" s="34">
        <f>500000</f>
        <v>500000</v>
      </c>
      <c r="N110" s="34"/>
      <c r="O110" s="36" t="s">
        <v>42</v>
      </c>
      <c r="P110" s="36"/>
      <c r="Q110" s="36"/>
      <c r="R110" s="36"/>
      <c r="S110" s="36"/>
      <c r="T110" s="35">
        <f>500000</f>
        <v>500000</v>
      </c>
      <c r="U110" s="35"/>
    </row>
    <row r="111" spans="1:21" s="1" customFormat="1" ht="13.5" customHeight="1">
      <c r="A111" s="31" t="s">
        <v>122</v>
      </c>
      <c r="B111" s="31"/>
      <c r="C111" s="31"/>
      <c r="D111" s="31"/>
      <c r="E111" s="31"/>
      <c r="F111" s="31"/>
      <c r="G111" s="32" t="s">
        <v>90</v>
      </c>
      <c r="H111" s="32"/>
      <c r="I111" s="32" t="s">
        <v>167</v>
      </c>
      <c r="J111" s="32"/>
      <c r="K111" s="33" t="s">
        <v>123</v>
      </c>
      <c r="L111" s="33"/>
      <c r="M111" s="34">
        <f>150000</f>
        <v>150000</v>
      </c>
      <c r="N111" s="34"/>
      <c r="O111" s="36" t="s">
        <v>42</v>
      </c>
      <c r="P111" s="36"/>
      <c r="Q111" s="36"/>
      <c r="R111" s="36"/>
      <c r="S111" s="36"/>
      <c r="T111" s="35">
        <f>150000</f>
        <v>150000</v>
      </c>
      <c r="U111" s="35"/>
    </row>
    <row r="112" spans="1:21" s="1" customFormat="1" ht="13.5" customHeight="1">
      <c r="A112" s="31" t="s">
        <v>122</v>
      </c>
      <c r="B112" s="31"/>
      <c r="C112" s="31"/>
      <c r="D112" s="31"/>
      <c r="E112" s="31"/>
      <c r="F112" s="31"/>
      <c r="G112" s="32" t="s">
        <v>90</v>
      </c>
      <c r="H112" s="32"/>
      <c r="I112" s="32" t="s">
        <v>168</v>
      </c>
      <c r="J112" s="32"/>
      <c r="K112" s="33" t="s">
        <v>123</v>
      </c>
      <c r="L112" s="33"/>
      <c r="M112" s="34">
        <f>232214.9</f>
        <v>232214.9</v>
      </c>
      <c r="N112" s="34"/>
      <c r="O112" s="36" t="s">
        <v>42</v>
      </c>
      <c r="P112" s="36"/>
      <c r="Q112" s="36"/>
      <c r="R112" s="36"/>
      <c r="S112" s="36"/>
      <c r="T112" s="35">
        <f>232214.9</f>
        <v>232214.9</v>
      </c>
      <c r="U112" s="35"/>
    </row>
    <row r="113" spans="1:21" s="1" customFormat="1" ht="13.5" customHeight="1">
      <c r="A113" s="31" t="s">
        <v>122</v>
      </c>
      <c r="B113" s="31"/>
      <c r="C113" s="31"/>
      <c r="D113" s="31"/>
      <c r="E113" s="31"/>
      <c r="F113" s="31"/>
      <c r="G113" s="32" t="s">
        <v>90</v>
      </c>
      <c r="H113" s="32"/>
      <c r="I113" s="32" t="s">
        <v>169</v>
      </c>
      <c r="J113" s="32"/>
      <c r="K113" s="33" t="s">
        <v>123</v>
      </c>
      <c r="L113" s="33"/>
      <c r="M113" s="34">
        <f>150000</f>
        <v>150000</v>
      </c>
      <c r="N113" s="34"/>
      <c r="O113" s="36" t="s">
        <v>42</v>
      </c>
      <c r="P113" s="36"/>
      <c r="Q113" s="36"/>
      <c r="R113" s="36"/>
      <c r="S113" s="36"/>
      <c r="T113" s="35">
        <f>150000</f>
        <v>150000</v>
      </c>
      <c r="U113" s="35"/>
    </row>
    <row r="114" spans="1:21" s="1" customFormat="1" ht="13.5" customHeight="1">
      <c r="A114" s="31" t="s">
        <v>126</v>
      </c>
      <c r="B114" s="31"/>
      <c r="C114" s="31"/>
      <c r="D114" s="31"/>
      <c r="E114" s="31"/>
      <c r="F114" s="31"/>
      <c r="G114" s="32" t="s">
        <v>90</v>
      </c>
      <c r="H114" s="32"/>
      <c r="I114" s="32" t="s">
        <v>169</v>
      </c>
      <c r="J114" s="32"/>
      <c r="K114" s="33" t="s">
        <v>127</v>
      </c>
      <c r="L114" s="33"/>
      <c r="M114" s="34">
        <f>139720</f>
        <v>139720</v>
      </c>
      <c r="N114" s="34"/>
      <c r="O114" s="36" t="s">
        <v>42</v>
      </c>
      <c r="P114" s="36"/>
      <c r="Q114" s="36"/>
      <c r="R114" s="36"/>
      <c r="S114" s="36"/>
      <c r="T114" s="35">
        <f>139720</f>
        <v>139720</v>
      </c>
      <c r="U114" s="35"/>
    </row>
    <row r="115" spans="1:21" s="1" customFormat="1" ht="13.5" customHeight="1">
      <c r="A115" s="31" t="s">
        <v>126</v>
      </c>
      <c r="B115" s="31"/>
      <c r="C115" s="31"/>
      <c r="D115" s="31"/>
      <c r="E115" s="31"/>
      <c r="F115" s="31"/>
      <c r="G115" s="32" t="s">
        <v>90</v>
      </c>
      <c r="H115" s="32"/>
      <c r="I115" s="32" t="s">
        <v>170</v>
      </c>
      <c r="J115" s="32"/>
      <c r="K115" s="33" t="s">
        <v>127</v>
      </c>
      <c r="L115" s="33"/>
      <c r="M115" s="34">
        <f>240000</f>
        <v>240000</v>
      </c>
      <c r="N115" s="34"/>
      <c r="O115" s="36" t="s">
        <v>42</v>
      </c>
      <c r="P115" s="36"/>
      <c r="Q115" s="36"/>
      <c r="R115" s="36"/>
      <c r="S115" s="36"/>
      <c r="T115" s="35">
        <f>240000</f>
        <v>240000</v>
      </c>
      <c r="U115" s="35"/>
    </row>
    <row r="116" spans="1:21" s="1" customFormat="1" ht="13.5" customHeight="1">
      <c r="A116" s="31" t="s">
        <v>171</v>
      </c>
      <c r="B116" s="31"/>
      <c r="C116" s="31"/>
      <c r="D116" s="31"/>
      <c r="E116" s="31"/>
      <c r="F116" s="31"/>
      <c r="G116" s="32" t="s">
        <v>90</v>
      </c>
      <c r="H116" s="32"/>
      <c r="I116" s="32" t="s">
        <v>172</v>
      </c>
      <c r="J116" s="32"/>
      <c r="K116" s="33" t="s">
        <v>173</v>
      </c>
      <c r="L116" s="33"/>
      <c r="M116" s="34">
        <f>50000</f>
        <v>50000</v>
      </c>
      <c r="N116" s="34"/>
      <c r="O116" s="36" t="s">
        <v>42</v>
      </c>
      <c r="P116" s="36"/>
      <c r="Q116" s="36"/>
      <c r="R116" s="36"/>
      <c r="S116" s="36"/>
      <c r="T116" s="35">
        <f>50000</f>
        <v>50000</v>
      </c>
      <c r="U116" s="35"/>
    </row>
    <row r="117" spans="1:21" s="1" customFormat="1" ht="13.5" customHeight="1">
      <c r="A117" s="31" t="s">
        <v>122</v>
      </c>
      <c r="B117" s="31"/>
      <c r="C117" s="31"/>
      <c r="D117" s="31"/>
      <c r="E117" s="31"/>
      <c r="F117" s="31"/>
      <c r="G117" s="32" t="s">
        <v>90</v>
      </c>
      <c r="H117" s="32"/>
      <c r="I117" s="32" t="s">
        <v>172</v>
      </c>
      <c r="J117" s="32"/>
      <c r="K117" s="33" t="s">
        <v>123</v>
      </c>
      <c r="L117" s="33"/>
      <c r="M117" s="34">
        <f>1320000</f>
        <v>1320000</v>
      </c>
      <c r="N117" s="34"/>
      <c r="O117" s="34">
        <f>31850</f>
        <v>31850</v>
      </c>
      <c r="P117" s="34"/>
      <c r="Q117" s="34"/>
      <c r="R117" s="34"/>
      <c r="S117" s="34"/>
      <c r="T117" s="35">
        <f>1288150</f>
        <v>1288150</v>
      </c>
      <c r="U117" s="35"/>
    </row>
    <row r="118" spans="1:21" s="1" customFormat="1" ht="13.5" customHeight="1">
      <c r="A118" s="31" t="s">
        <v>108</v>
      </c>
      <c r="B118" s="31"/>
      <c r="C118" s="31"/>
      <c r="D118" s="31"/>
      <c r="E118" s="31"/>
      <c r="F118" s="31"/>
      <c r="G118" s="32" t="s">
        <v>90</v>
      </c>
      <c r="H118" s="32"/>
      <c r="I118" s="32" t="s">
        <v>172</v>
      </c>
      <c r="J118" s="32"/>
      <c r="K118" s="33" t="s">
        <v>109</v>
      </c>
      <c r="L118" s="33"/>
      <c r="M118" s="34">
        <f>3915254.67</f>
        <v>3915254.67</v>
      </c>
      <c r="N118" s="34"/>
      <c r="O118" s="34">
        <f>27300</f>
        <v>27300</v>
      </c>
      <c r="P118" s="34"/>
      <c r="Q118" s="34"/>
      <c r="R118" s="34"/>
      <c r="S118" s="34"/>
      <c r="T118" s="35">
        <f>3887954.67</f>
        <v>3887954.67</v>
      </c>
      <c r="U118" s="35"/>
    </row>
    <row r="119" spans="1:21" s="1" customFormat="1" ht="13.5" customHeight="1">
      <c r="A119" s="31" t="s">
        <v>132</v>
      </c>
      <c r="B119" s="31"/>
      <c r="C119" s="31"/>
      <c r="D119" s="31"/>
      <c r="E119" s="31"/>
      <c r="F119" s="31"/>
      <c r="G119" s="32" t="s">
        <v>90</v>
      </c>
      <c r="H119" s="32"/>
      <c r="I119" s="32" t="s">
        <v>172</v>
      </c>
      <c r="J119" s="32"/>
      <c r="K119" s="33" t="s">
        <v>133</v>
      </c>
      <c r="L119" s="33"/>
      <c r="M119" s="34">
        <f>200000</f>
        <v>200000</v>
      </c>
      <c r="N119" s="34"/>
      <c r="O119" s="34">
        <f>86000</f>
        <v>86000</v>
      </c>
      <c r="P119" s="34"/>
      <c r="Q119" s="34"/>
      <c r="R119" s="34"/>
      <c r="S119" s="34"/>
      <c r="T119" s="35">
        <f>114000</f>
        <v>114000</v>
      </c>
      <c r="U119" s="35"/>
    </row>
    <row r="120" spans="1:21" s="1" customFormat="1" ht="13.5" customHeight="1">
      <c r="A120" s="31" t="s">
        <v>124</v>
      </c>
      <c r="B120" s="31"/>
      <c r="C120" s="31"/>
      <c r="D120" s="31"/>
      <c r="E120" s="31"/>
      <c r="F120" s="31"/>
      <c r="G120" s="32" t="s">
        <v>90</v>
      </c>
      <c r="H120" s="32"/>
      <c r="I120" s="32" t="s">
        <v>172</v>
      </c>
      <c r="J120" s="32"/>
      <c r="K120" s="33" t="s">
        <v>125</v>
      </c>
      <c r="L120" s="33"/>
      <c r="M120" s="34">
        <f>25000</f>
        <v>25000</v>
      </c>
      <c r="N120" s="34"/>
      <c r="O120" s="36" t="s">
        <v>42</v>
      </c>
      <c r="P120" s="36"/>
      <c r="Q120" s="36"/>
      <c r="R120" s="36"/>
      <c r="S120" s="36"/>
      <c r="T120" s="35">
        <f>25000</f>
        <v>25000</v>
      </c>
      <c r="U120" s="35"/>
    </row>
    <row r="121" spans="1:21" s="1" customFormat="1" ht="13.5" customHeight="1">
      <c r="A121" s="31" t="s">
        <v>157</v>
      </c>
      <c r="B121" s="31"/>
      <c r="C121" s="31"/>
      <c r="D121" s="31"/>
      <c r="E121" s="31"/>
      <c r="F121" s="31"/>
      <c r="G121" s="32" t="s">
        <v>90</v>
      </c>
      <c r="H121" s="32"/>
      <c r="I121" s="32" t="s">
        <v>172</v>
      </c>
      <c r="J121" s="32"/>
      <c r="K121" s="33" t="s">
        <v>158</v>
      </c>
      <c r="L121" s="33"/>
      <c r="M121" s="34">
        <f>2121978.1</f>
        <v>2121978.1</v>
      </c>
      <c r="N121" s="34"/>
      <c r="O121" s="34">
        <f>804380.1</f>
        <v>804380.1</v>
      </c>
      <c r="P121" s="34"/>
      <c r="Q121" s="34"/>
      <c r="R121" s="34"/>
      <c r="S121" s="34"/>
      <c r="T121" s="35">
        <f>1317598</f>
        <v>1317598</v>
      </c>
      <c r="U121" s="35"/>
    </row>
    <row r="122" spans="1:21" s="1" customFormat="1" ht="13.5" customHeight="1">
      <c r="A122" s="31" t="s">
        <v>126</v>
      </c>
      <c r="B122" s="31"/>
      <c r="C122" s="31"/>
      <c r="D122" s="31"/>
      <c r="E122" s="31"/>
      <c r="F122" s="31"/>
      <c r="G122" s="32" t="s">
        <v>90</v>
      </c>
      <c r="H122" s="32"/>
      <c r="I122" s="32" t="s">
        <v>172</v>
      </c>
      <c r="J122" s="32"/>
      <c r="K122" s="33" t="s">
        <v>127</v>
      </c>
      <c r="L122" s="33"/>
      <c r="M122" s="34">
        <f>1187714.2</f>
        <v>1187714.2</v>
      </c>
      <c r="N122" s="34"/>
      <c r="O122" s="34">
        <f>30903.4</f>
        <v>30903.4</v>
      </c>
      <c r="P122" s="34"/>
      <c r="Q122" s="34"/>
      <c r="R122" s="34"/>
      <c r="S122" s="34"/>
      <c r="T122" s="35">
        <f>1156810.8</f>
        <v>1156810.8</v>
      </c>
      <c r="U122" s="35"/>
    </row>
    <row r="123" spans="1:21" s="1" customFormat="1" ht="13.5" customHeight="1">
      <c r="A123" s="31" t="s">
        <v>119</v>
      </c>
      <c r="B123" s="31"/>
      <c r="C123" s="31"/>
      <c r="D123" s="31"/>
      <c r="E123" s="31"/>
      <c r="F123" s="31"/>
      <c r="G123" s="32" t="s">
        <v>90</v>
      </c>
      <c r="H123" s="32"/>
      <c r="I123" s="32" t="s">
        <v>174</v>
      </c>
      <c r="J123" s="32"/>
      <c r="K123" s="33" t="s">
        <v>121</v>
      </c>
      <c r="L123" s="33"/>
      <c r="M123" s="34">
        <f>2894000</f>
        <v>2894000</v>
      </c>
      <c r="N123" s="34"/>
      <c r="O123" s="34">
        <f>587952.85</f>
        <v>587952.85</v>
      </c>
      <c r="P123" s="34"/>
      <c r="Q123" s="34"/>
      <c r="R123" s="34"/>
      <c r="S123" s="34"/>
      <c r="T123" s="35">
        <f>2306047.15</f>
        <v>2306047.15</v>
      </c>
      <c r="U123" s="35"/>
    </row>
    <row r="124" spans="1:21" s="1" customFormat="1" ht="13.5" customHeight="1">
      <c r="A124" s="31" t="s">
        <v>122</v>
      </c>
      <c r="B124" s="31"/>
      <c r="C124" s="31"/>
      <c r="D124" s="31"/>
      <c r="E124" s="31"/>
      <c r="F124" s="31"/>
      <c r="G124" s="32" t="s">
        <v>90</v>
      </c>
      <c r="H124" s="32"/>
      <c r="I124" s="32" t="s">
        <v>175</v>
      </c>
      <c r="J124" s="32"/>
      <c r="K124" s="33" t="s">
        <v>123</v>
      </c>
      <c r="L124" s="33"/>
      <c r="M124" s="34">
        <f>14862.17</f>
        <v>14862.17</v>
      </c>
      <c r="N124" s="34"/>
      <c r="O124" s="36" t="s">
        <v>42</v>
      </c>
      <c r="P124" s="36"/>
      <c r="Q124" s="36"/>
      <c r="R124" s="36"/>
      <c r="S124" s="36"/>
      <c r="T124" s="35">
        <f>14862.17</f>
        <v>14862.17</v>
      </c>
      <c r="U124" s="35"/>
    </row>
    <row r="125" spans="1:21" s="1" customFormat="1" ht="24" customHeight="1">
      <c r="A125" s="31" t="s">
        <v>176</v>
      </c>
      <c r="B125" s="31"/>
      <c r="C125" s="31"/>
      <c r="D125" s="31"/>
      <c r="E125" s="31"/>
      <c r="F125" s="31"/>
      <c r="G125" s="32" t="s">
        <v>90</v>
      </c>
      <c r="H125" s="32"/>
      <c r="I125" s="32" t="s">
        <v>177</v>
      </c>
      <c r="J125" s="32"/>
      <c r="K125" s="33" t="s">
        <v>178</v>
      </c>
      <c r="L125" s="33"/>
      <c r="M125" s="34">
        <f>5461500</f>
        <v>5461500</v>
      </c>
      <c r="N125" s="34"/>
      <c r="O125" s="36" t="s">
        <v>42</v>
      </c>
      <c r="P125" s="36"/>
      <c r="Q125" s="36"/>
      <c r="R125" s="36"/>
      <c r="S125" s="36"/>
      <c r="T125" s="35">
        <f>5461500</f>
        <v>5461500</v>
      </c>
      <c r="U125" s="35"/>
    </row>
    <row r="126" spans="1:21" s="1" customFormat="1" ht="24" customHeight="1">
      <c r="A126" s="31" t="s">
        <v>176</v>
      </c>
      <c r="B126" s="31"/>
      <c r="C126" s="31"/>
      <c r="D126" s="31"/>
      <c r="E126" s="31"/>
      <c r="F126" s="31"/>
      <c r="G126" s="32" t="s">
        <v>90</v>
      </c>
      <c r="H126" s="32"/>
      <c r="I126" s="32" t="s">
        <v>179</v>
      </c>
      <c r="J126" s="32"/>
      <c r="K126" s="33" t="s">
        <v>178</v>
      </c>
      <c r="L126" s="33"/>
      <c r="M126" s="34">
        <f>20596600</f>
        <v>20596600</v>
      </c>
      <c r="N126" s="34"/>
      <c r="O126" s="34">
        <f>5149150</f>
        <v>5149150</v>
      </c>
      <c r="P126" s="34"/>
      <c r="Q126" s="34"/>
      <c r="R126" s="34"/>
      <c r="S126" s="34"/>
      <c r="T126" s="35">
        <f>15447450</f>
        <v>15447450</v>
      </c>
      <c r="U126" s="35"/>
    </row>
    <row r="127" spans="1:21" s="1" customFormat="1" ht="13.5" customHeight="1">
      <c r="A127" s="31" t="s">
        <v>112</v>
      </c>
      <c r="B127" s="31"/>
      <c r="C127" s="31"/>
      <c r="D127" s="31"/>
      <c r="E127" s="31"/>
      <c r="F127" s="31"/>
      <c r="G127" s="32" t="s">
        <v>90</v>
      </c>
      <c r="H127" s="32"/>
      <c r="I127" s="32" t="s">
        <v>180</v>
      </c>
      <c r="J127" s="32"/>
      <c r="K127" s="33" t="s">
        <v>114</v>
      </c>
      <c r="L127" s="33"/>
      <c r="M127" s="34">
        <f>3597071.43</f>
        <v>3597071.43</v>
      </c>
      <c r="N127" s="34"/>
      <c r="O127" s="34">
        <f>899267.86</f>
        <v>899267.86</v>
      </c>
      <c r="P127" s="34"/>
      <c r="Q127" s="34"/>
      <c r="R127" s="34"/>
      <c r="S127" s="34"/>
      <c r="T127" s="35">
        <f>2697803.57</f>
        <v>2697803.57</v>
      </c>
      <c r="U127" s="35"/>
    </row>
    <row r="128" spans="1:21" s="1" customFormat="1" ht="24" customHeight="1">
      <c r="A128" s="31" t="s">
        <v>176</v>
      </c>
      <c r="B128" s="31"/>
      <c r="C128" s="31"/>
      <c r="D128" s="31"/>
      <c r="E128" s="31"/>
      <c r="F128" s="31"/>
      <c r="G128" s="32" t="s">
        <v>90</v>
      </c>
      <c r="H128" s="32"/>
      <c r="I128" s="32" t="s">
        <v>181</v>
      </c>
      <c r="J128" s="32"/>
      <c r="K128" s="33" t="s">
        <v>178</v>
      </c>
      <c r="L128" s="33"/>
      <c r="M128" s="34">
        <f>834200</f>
        <v>834200</v>
      </c>
      <c r="N128" s="34"/>
      <c r="O128" s="34">
        <f>834200</f>
        <v>834200</v>
      </c>
      <c r="P128" s="34"/>
      <c r="Q128" s="34"/>
      <c r="R128" s="34"/>
      <c r="S128" s="34"/>
      <c r="T128" s="35">
        <f>0</f>
        <v>0</v>
      </c>
      <c r="U128" s="35"/>
    </row>
    <row r="129" spans="1:21" s="1" customFormat="1" ht="24" customHeight="1">
      <c r="A129" s="31" t="s">
        <v>182</v>
      </c>
      <c r="B129" s="31"/>
      <c r="C129" s="31"/>
      <c r="D129" s="31"/>
      <c r="E129" s="31"/>
      <c r="F129" s="31"/>
      <c r="G129" s="32" t="s">
        <v>90</v>
      </c>
      <c r="H129" s="32"/>
      <c r="I129" s="32" t="s">
        <v>183</v>
      </c>
      <c r="J129" s="32"/>
      <c r="K129" s="33" t="s">
        <v>184</v>
      </c>
      <c r="L129" s="33"/>
      <c r="M129" s="34">
        <f>1320000</f>
        <v>1320000</v>
      </c>
      <c r="N129" s="34"/>
      <c r="O129" s="34">
        <f>112330.41</f>
        <v>112330.41</v>
      </c>
      <c r="P129" s="34"/>
      <c r="Q129" s="34"/>
      <c r="R129" s="34"/>
      <c r="S129" s="34"/>
      <c r="T129" s="35">
        <f>1207669.59</f>
        <v>1207669.59</v>
      </c>
      <c r="U129" s="35"/>
    </row>
    <row r="130" spans="1:21" s="1" customFormat="1" ht="24" customHeight="1">
      <c r="A130" s="31" t="s">
        <v>176</v>
      </c>
      <c r="B130" s="31"/>
      <c r="C130" s="31"/>
      <c r="D130" s="31"/>
      <c r="E130" s="31"/>
      <c r="F130" s="31"/>
      <c r="G130" s="32" t="s">
        <v>90</v>
      </c>
      <c r="H130" s="32"/>
      <c r="I130" s="32" t="s">
        <v>185</v>
      </c>
      <c r="J130" s="32"/>
      <c r="K130" s="33" t="s">
        <v>178</v>
      </c>
      <c r="L130" s="33"/>
      <c r="M130" s="34">
        <f>2102600</f>
        <v>2102600</v>
      </c>
      <c r="N130" s="34"/>
      <c r="O130" s="34">
        <f>525650</f>
        <v>525650</v>
      </c>
      <c r="P130" s="34"/>
      <c r="Q130" s="34"/>
      <c r="R130" s="34"/>
      <c r="S130" s="34"/>
      <c r="T130" s="35">
        <f>1576950</f>
        <v>1576950</v>
      </c>
      <c r="U130" s="35"/>
    </row>
    <row r="131" spans="1:21" s="1" customFormat="1" ht="15" customHeight="1">
      <c r="A131" s="37" t="s">
        <v>186</v>
      </c>
      <c r="B131" s="37"/>
      <c r="C131" s="37"/>
      <c r="D131" s="37"/>
      <c r="E131" s="37"/>
      <c r="F131" s="37"/>
      <c r="G131" s="38" t="s">
        <v>187</v>
      </c>
      <c r="H131" s="38"/>
      <c r="I131" s="38" t="s">
        <v>37</v>
      </c>
      <c r="J131" s="38"/>
      <c r="K131" s="39" t="s">
        <v>37</v>
      </c>
      <c r="L131" s="39"/>
      <c r="M131" s="40">
        <f>-7522506.75</f>
        <v>-7522506.75</v>
      </c>
      <c r="N131" s="40"/>
      <c r="O131" s="40">
        <f>1150428.58</f>
        <v>1150428.58</v>
      </c>
      <c r="P131" s="40"/>
      <c r="Q131" s="40"/>
      <c r="R131" s="40"/>
      <c r="S131" s="40"/>
      <c r="T131" s="41" t="s">
        <v>37</v>
      </c>
      <c r="U131" s="41"/>
    </row>
    <row r="132" spans="1:21" s="1" customFormat="1" ht="13.5" customHeight="1">
      <c r="A132" s="7" t="s">
        <v>11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12" t="s">
        <v>188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s="1" customFormat="1" ht="45.75" customHeight="1">
      <c r="A134" s="13" t="s">
        <v>23</v>
      </c>
      <c r="B134" s="13"/>
      <c r="C134" s="13"/>
      <c r="D134" s="13"/>
      <c r="E134" s="13"/>
      <c r="F134" s="13"/>
      <c r="G134" s="13"/>
      <c r="H134" s="13" t="s">
        <v>24</v>
      </c>
      <c r="I134" s="13"/>
      <c r="J134" s="13" t="s">
        <v>189</v>
      </c>
      <c r="K134" s="13"/>
      <c r="L134" s="14" t="s">
        <v>26</v>
      </c>
      <c r="M134" s="14"/>
      <c r="N134" s="14" t="s">
        <v>27</v>
      </c>
      <c r="O134" s="14"/>
      <c r="P134" s="14"/>
      <c r="Q134" s="14"/>
      <c r="R134" s="14"/>
      <c r="S134" s="15" t="s">
        <v>28</v>
      </c>
      <c r="T134" s="15"/>
      <c r="U134" s="15"/>
    </row>
    <row r="135" spans="1:21" s="1" customFormat="1" ht="12.75" customHeight="1">
      <c r="A135" s="16" t="s">
        <v>29</v>
      </c>
      <c r="B135" s="16"/>
      <c r="C135" s="16"/>
      <c r="D135" s="16"/>
      <c r="E135" s="16"/>
      <c r="F135" s="16"/>
      <c r="G135" s="16"/>
      <c r="H135" s="16" t="s">
        <v>30</v>
      </c>
      <c r="I135" s="16"/>
      <c r="J135" s="16" t="s">
        <v>31</v>
      </c>
      <c r="K135" s="16"/>
      <c r="L135" s="17" t="s">
        <v>32</v>
      </c>
      <c r="M135" s="17"/>
      <c r="N135" s="17" t="s">
        <v>33</v>
      </c>
      <c r="O135" s="17"/>
      <c r="P135" s="17"/>
      <c r="Q135" s="17"/>
      <c r="R135" s="17"/>
      <c r="S135" s="18" t="s">
        <v>34</v>
      </c>
      <c r="T135" s="18"/>
      <c r="U135" s="18"/>
    </row>
    <row r="136" spans="1:21" s="1" customFormat="1" ht="13.5" customHeight="1">
      <c r="A136" s="19" t="s">
        <v>190</v>
      </c>
      <c r="B136" s="19"/>
      <c r="C136" s="19"/>
      <c r="D136" s="19"/>
      <c r="E136" s="19"/>
      <c r="F136" s="19"/>
      <c r="G136" s="19"/>
      <c r="H136" s="20" t="s">
        <v>191</v>
      </c>
      <c r="I136" s="20"/>
      <c r="J136" s="20" t="s">
        <v>37</v>
      </c>
      <c r="K136" s="20"/>
      <c r="L136" s="42">
        <f>7522506.75</f>
        <v>7522506.75</v>
      </c>
      <c r="M136" s="42"/>
      <c r="N136" s="21">
        <f>-1150428.58</f>
        <v>-1150428.58</v>
      </c>
      <c r="O136" s="21"/>
      <c r="P136" s="21"/>
      <c r="Q136" s="21"/>
      <c r="R136" s="21"/>
      <c r="S136" s="43" t="s">
        <v>37</v>
      </c>
      <c r="T136" s="43"/>
      <c r="U136" s="43"/>
    </row>
    <row r="137" spans="1:21" s="1" customFormat="1" ht="13.5" customHeight="1">
      <c r="A137" s="44" t="s">
        <v>192</v>
      </c>
      <c r="B137" s="44"/>
      <c r="C137" s="44"/>
      <c r="D137" s="44"/>
      <c r="E137" s="44"/>
      <c r="F137" s="44"/>
      <c r="G137" s="44"/>
      <c r="H137" s="45" t="s">
        <v>11</v>
      </c>
      <c r="I137" s="45"/>
      <c r="J137" s="45" t="s">
        <v>11</v>
      </c>
      <c r="K137" s="45"/>
      <c r="L137" s="46" t="s">
        <v>11</v>
      </c>
      <c r="M137" s="46"/>
      <c r="N137" s="47" t="s">
        <v>11</v>
      </c>
      <c r="O137" s="47"/>
      <c r="P137" s="47"/>
      <c r="Q137" s="47"/>
      <c r="R137" s="47"/>
      <c r="S137" s="48" t="s">
        <v>11</v>
      </c>
      <c r="T137" s="48"/>
      <c r="U137" s="48"/>
    </row>
    <row r="138" spans="1:21" s="1" customFormat="1" ht="13.5" customHeight="1">
      <c r="A138" s="23" t="s">
        <v>193</v>
      </c>
      <c r="B138" s="23"/>
      <c r="C138" s="23"/>
      <c r="D138" s="23"/>
      <c r="E138" s="23"/>
      <c r="F138" s="23"/>
      <c r="G138" s="23"/>
      <c r="H138" s="49" t="s">
        <v>194</v>
      </c>
      <c r="I138" s="49"/>
      <c r="J138" s="24" t="s">
        <v>37</v>
      </c>
      <c r="K138" s="24"/>
      <c r="L138" s="50" t="s">
        <v>42</v>
      </c>
      <c r="M138" s="50"/>
      <c r="N138" s="27" t="s">
        <v>42</v>
      </c>
      <c r="O138" s="27"/>
      <c r="P138" s="27"/>
      <c r="Q138" s="27"/>
      <c r="R138" s="27"/>
      <c r="S138" s="51" t="s">
        <v>42</v>
      </c>
      <c r="T138" s="51"/>
      <c r="U138" s="51"/>
    </row>
    <row r="139" spans="1:21" s="1" customFormat="1" ht="13.5" customHeight="1">
      <c r="A139" s="33" t="s">
        <v>11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1:21" s="1" customFormat="1" ht="13.5" customHeight="1">
      <c r="A140" s="31" t="s">
        <v>195</v>
      </c>
      <c r="B140" s="31"/>
      <c r="C140" s="31"/>
      <c r="D140" s="31"/>
      <c r="E140" s="31"/>
      <c r="F140" s="31"/>
      <c r="G140" s="31"/>
      <c r="H140" s="45" t="s">
        <v>196</v>
      </c>
      <c r="I140" s="45"/>
      <c r="J140" s="45" t="s">
        <v>37</v>
      </c>
      <c r="K140" s="45"/>
      <c r="L140" s="46" t="s">
        <v>42</v>
      </c>
      <c r="M140" s="46"/>
      <c r="N140" s="36" t="s">
        <v>42</v>
      </c>
      <c r="O140" s="36"/>
      <c r="P140" s="36"/>
      <c r="Q140" s="36"/>
      <c r="R140" s="36"/>
      <c r="S140" s="48" t="s">
        <v>42</v>
      </c>
      <c r="T140" s="48"/>
      <c r="U140" s="48"/>
    </row>
    <row r="141" spans="1:21" s="1" customFormat="1" ht="13.5" customHeight="1">
      <c r="A141" s="31" t="s">
        <v>11</v>
      </c>
      <c r="B141" s="31"/>
      <c r="C141" s="31"/>
      <c r="D141" s="31"/>
      <c r="E141" s="31"/>
      <c r="F141" s="31"/>
      <c r="G141" s="31"/>
      <c r="H141" s="32" t="s">
        <v>196</v>
      </c>
      <c r="I141" s="32"/>
      <c r="J141" s="32" t="s">
        <v>11</v>
      </c>
      <c r="K141" s="32"/>
      <c r="L141" s="52" t="s">
        <v>42</v>
      </c>
      <c r="M141" s="52"/>
      <c r="N141" s="36" t="s">
        <v>42</v>
      </c>
      <c r="O141" s="36"/>
      <c r="P141" s="36"/>
      <c r="Q141" s="36"/>
      <c r="R141" s="36"/>
      <c r="S141" s="53" t="s">
        <v>42</v>
      </c>
      <c r="T141" s="53"/>
      <c r="U141" s="53"/>
    </row>
    <row r="142" spans="1:21" s="1" customFormat="1" ht="13.5" customHeight="1">
      <c r="A142" s="31" t="s">
        <v>197</v>
      </c>
      <c r="B142" s="31"/>
      <c r="C142" s="31"/>
      <c r="D142" s="31"/>
      <c r="E142" s="31"/>
      <c r="F142" s="31"/>
      <c r="G142" s="31"/>
      <c r="H142" s="32" t="s">
        <v>198</v>
      </c>
      <c r="I142" s="32"/>
      <c r="J142" s="32" t="s">
        <v>199</v>
      </c>
      <c r="K142" s="32"/>
      <c r="L142" s="54">
        <f>7522506.75</f>
        <v>7522506.75</v>
      </c>
      <c r="M142" s="54"/>
      <c r="N142" s="34">
        <f>-1150428.58</f>
        <v>-1150428.58</v>
      </c>
      <c r="O142" s="34"/>
      <c r="P142" s="34"/>
      <c r="Q142" s="34"/>
      <c r="R142" s="34"/>
      <c r="S142" s="55">
        <f>8672935.33</f>
        <v>8672935.33</v>
      </c>
      <c r="T142" s="55"/>
      <c r="U142" s="55"/>
    </row>
    <row r="143" spans="1:21" s="1" customFormat="1" ht="13.5" customHeight="1">
      <c r="A143" s="31" t="s">
        <v>200</v>
      </c>
      <c r="B143" s="31"/>
      <c r="C143" s="31"/>
      <c r="D143" s="31"/>
      <c r="E143" s="31"/>
      <c r="F143" s="31"/>
      <c r="G143" s="31"/>
      <c r="H143" s="32" t="s">
        <v>201</v>
      </c>
      <c r="I143" s="32"/>
      <c r="J143" s="32" t="s">
        <v>202</v>
      </c>
      <c r="K143" s="32"/>
      <c r="L143" s="52" t="s">
        <v>42</v>
      </c>
      <c r="M143" s="52"/>
      <c r="N143" s="34">
        <f>-17777869.17</f>
        <v>-17777869.17</v>
      </c>
      <c r="O143" s="34"/>
      <c r="P143" s="34"/>
      <c r="Q143" s="34"/>
      <c r="R143" s="34"/>
      <c r="S143" s="56" t="s">
        <v>37</v>
      </c>
      <c r="T143" s="56"/>
      <c r="U143" s="56"/>
    </row>
    <row r="144" spans="1:21" s="1" customFormat="1" ht="13.5" customHeight="1">
      <c r="A144" s="31" t="s">
        <v>203</v>
      </c>
      <c r="B144" s="31"/>
      <c r="C144" s="31"/>
      <c r="D144" s="31"/>
      <c r="E144" s="31"/>
      <c r="F144" s="31"/>
      <c r="G144" s="31"/>
      <c r="H144" s="32" t="s">
        <v>204</v>
      </c>
      <c r="I144" s="32"/>
      <c r="J144" s="32" t="s">
        <v>205</v>
      </c>
      <c r="K144" s="32"/>
      <c r="L144" s="52" t="s">
        <v>42</v>
      </c>
      <c r="M144" s="52"/>
      <c r="N144" s="34">
        <f>16627440.59</f>
        <v>16627440.59</v>
      </c>
      <c r="O144" s="34"/>
      <c r="P144" s="34"/>
      <c r="Q144" s="34"/>
      <c r="R144" s="34"/>
      <c r="S144" s="56" t="s">
        <v>37</v>
      </c>
      <c r="T144" s="56"/>
      <c r="U144" s="56"/>
    </row>
    <row r="145" spans="1:21" s="1" customFormat="1" ht="13.5" customHeight="1">
      <c r="A145" s="57" t="s">
        <v>11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s="1" customFormat="1" ht="15.75" customHeight="1">
      <c r="A146" s="7" t="s">
        <v>11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58" t="s">
        <v>206</v>
      </c>
      <c r="B147" s="58"/>
      <c r="C147" s="58"/>
      <c r="D147" s="58"/>
      <c r="E147" s="58"/>
      <c r="F147" s="7" t="s">
        <v>11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3.5" customHeight="1">
      <c r="A148" s="4" t="s">
        <v>207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</sheetData>
  <sheetProtection/>
  <mergeCells count="900">
    <mergeCell ref="A145:U145"/>
    <mergeCell ref="A146:U146"/>
    <mergeCell ref="A147:E147"/>
    <mergeCell ref="F147:U147"/>
    <mergeCell ref="A148:U148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39:U139"/>
    <mergeCell ref="A140:G140"/>
    <mergeCell ref="H140:I140"/>
    <mergeCell ref="J140:K140"/>
    <mergeCell ref="L140:M140"/>
    <mergeCell ref="N140:R140"/>
    <mergeCell ref="S140:U140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T131:U131"/>
    <mergeCell ref="A132:U132"/>
    <mergeCell ref="A133:U133"/>
    <mergeCell ref="A134:G134"/>
    <mergeCell ref="H134:I134"/>
    <mergeCell ref="J134:K134"/>
    <mergeCell ref="L134:M134"/>
    <mergeCell ref="N134:R134"/>
    <mergeCell ref="S134:U134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A36:U36"/>
    <mergeCell ref="A37:U37"/>
    <mergeCell ref="A38:F38"/>
    <mergeCell ref="G38:H38"/>
    <mergeCell ref="I38:J38"/>
    <mergeCell ref="K38:L38"/>
    <mergeCell ref="M38:N38"/>
    <mergeCell ref="O38:S38"/>
    <mergeCell ref="T38:U38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ASP-12</dc:creator>
  <cp:keywords/>
  <dc:description/>
  <cp:lastModifiedBy>ASP-12</cp:lastModifiedBy>
  <dcterms:created xsi:type="dcterms:W3CDTF">2023-03-13T04:03:09Z</dcterms:created>
  <dcterms:modified xsi:type="dcterms:W3CDTF">2023-03-13T04:03:09Z</dcterms:modified>
  <cp:category/>
  <cp:version/>
  <cp:contentType/>
  <cp:contentStatus/>
</cp:coreProperties>
</file>